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<sst xmlns="http://schemas.openxmlformats.org/spreadsheetml/2006/main" count="38140" uniqueCount="5856">
  <si>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</si>
  <si>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</si>
  <si>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</si>
  <si>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</si>
  <si>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</si>
  <si>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</si>
  <si>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</si>
  <si>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</si>
  <si>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</si>
  <si>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</si>
  <si>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</si>
  <si>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</si>
  <si>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</si>
  <si>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</si>
  <si>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</si>
  <si>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</si>
  <si>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</si>
  <si>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</si>
  <si>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</si>
  <si>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</si>
  <si>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</si>
  <si>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</si>
  <si>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</si>
  <si>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</si>
  <si>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</si>
  <si>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</si>
  <si>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</si>
  <si>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</si>
  <si>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</si>
  <si>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</si>
  <si>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</si>
  <si>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</si>
  <si>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</si>
  <si>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</si>
  <si>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</si>
  <si>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</si>
  <si>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</si>
  <si>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</si>
  <si>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</si>
  <si>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</si>
  <si>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</si>
  <si>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</si>
  <si>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</si>
  <si>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</si>
  <si>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</si>
  <si>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</si>
  <si>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</si>
  <si>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</si>
  <si>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</si>
  <si>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</si>
  <si>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</si>
  <si>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</si>
  <si>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</si>
  <si>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</si>
  <si>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</si>
  <si>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</si>
  <si>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</si>
  <si>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</si>
  <si>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</si>
  <si>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</si>
  <si>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</si>
  <si>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</si>
  <si>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</si>
  <si>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</si>
  <si>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</si>
  <si>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</si>
  <si>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</si>
  <si>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</si>
  <si>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</si>
  <si>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</si>
  <si>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</si>
  <si>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</si>
  <si>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</si>
  <si>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</si>
  <si>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</si>
  <si>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</si>
  <si>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</si>
  <si>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</si>
  <si>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</si>
  <si>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</si>
  <si>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</si>
  <si>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</si>
  <si>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</si>
  <si>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</si>
  <si>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</si>
  <si>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</si>
  <si>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</si>
  <si>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</si>
  <si>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</si>
  <si>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</si>
  <si>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</si>
  <si>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</si>
  <si>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</si>
  <si>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</si>
  <si>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</si>
  <si>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</si>
  <si>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</si>
  <si>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</si>
  <si>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</si>
  <si>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</si>
  <si>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</si>
  <si>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</si>
  <si>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</si>
  <si>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</si>
  <si>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</si>
  <si>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</si>
  <si>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</si>
  <si>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</si>
  <si>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</si>
  <si>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</si>
  <si>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</si>
  <si>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</si>
  <si>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</si>
  <si>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</si>
  <si>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</si>
  <si>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</si>
  <si>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</si>
  <si>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</si>
  <si>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</si>
  <si>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</si>
  <si>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</si>
  <si>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</si>
  <si>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</si>
  <si>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</si>
  <si>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</si>
  <si>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</si>
  <si>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</si>
  <si>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</si>
  <si>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</si>
  <si>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</si>
  <si>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</si>
  <si>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</si>
  <si>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</si>
  <si>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</si>
  <si>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</si>
  <si>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</si>
  <si>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</si>
  <si>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</si>
  <si>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</si>
  <si>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</si>
  <si>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</si>
  <si>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</si>
  <si>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</si>
  <si>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</si>
  <si>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</si>
  <si>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</si>
  <si>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</si>
  <si>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</si>
  <si>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</si>
  <si>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</si>
  <si>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</si>
  <si>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</si>
  <si>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</si>
  <si>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</si>
  <si>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</si>
  <si>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</si>
  <si>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</si>
  <si>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</si>
  <si>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</si>
  <si>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</si>
  <si>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</si>
  <si>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</si>
  <si>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</si>
  <si>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</si>
  <si>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</si>
  <si>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</si>
  <si>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</si>
  <si>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</si>
  <si>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</si>
  <si>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</si>
  <si>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</si>
  <si>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</si>
  <si>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</si>
  <si>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</si>
  <si>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</si>
  <si>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</si>
  <si>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</si>
  <si>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</si>
  <si>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</si>
  <si>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</si>
  <si>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</si>
  <si>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</si>
  <si>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</si>
  <si>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</si>
  <si>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</si>
  <si>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</si>
  <si>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</si>
  <si>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</si>
  <si>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</si>
  <si>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</si>
  <si>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</si>
  <si>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</si>
  <si>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</si>
  <si>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</si>
  <si>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</si>
  <si>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</si>
  <si>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</si>
  <si>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</si>
  <si>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</si>
  <si>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</si>
  <si>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</si>
  <si>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</si>
  <si>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</si>
  <si>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</si>
  <si>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</si>
  <si>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</si>
  <si>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</si>
  <si>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</si>
  <si>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</si>
  <si>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</si>
  <si>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</si>
  <si>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</si>
  <si>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</si>
  <si>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</si>
  <si>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</si>
  <si>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</si>
  <si>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</si>
  <si>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</si>
  <si>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</si>
  <si>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</si>
  <si>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</si>
  <si>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</si>
  <si>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</si>
  <si>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</si>
  <si>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</si>
  <si>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icecleverheart</t>
  </si>
  <si>
    <t>koronafi</t>
  </si>
  <si>
    <t>iinamaki</t>
  </si>
  <si>
    <t>suskulondon</t>
  </si>
  <si>
    <t>kilpikonna8</t>
  </si>
  <si>
    <t>heikkiray</t>
  </si>
  <si>
    <t>petrimaenpaa</t>
  </si>
  <si>
    <t>aulikkinyberg</t>
  </si>
  <si>
    <t>voinpahoin</t>
  </si>
  <si>
    <t>kirsi_anneli</t>
  </si>
  <si>
    <t>miaumaumiu</t>
  </si>
  <si>
    <t>tomz0r</t>
  </si>
  <si>
    <t>neongho96790876</t>
  </si>
  <si>
    <t>_naturisti</t>
  </si>
  <si>
    <t>marymindys</t>
  </si>
  <si>
    <t>terokans</t>
  </si>
  <si>
    <t>jarileino3</t>
  </si>
  <si>
    <t>arlenmerlen</t>
  </si>
  <si>
    <t>areyounoob</t>
  </si>
  <si>
    <t>kat918345</t>
  </si>
  <si>
    <t>kilpirinne_veli</t>
  </si>
  <si>
    <t>etelanmies</t>
  </si>
  <si>
    <t>hirvonenjo</t>
  </si>
  <si>
    <t>johnpulm</t>
  </si>
  <si>
    <t>rvalimaki</t>
  </si>
  <si>
    <t>ristoreipas10</t>
  </si>
  <si>
    <t>teemual</t>
  </si>
  <si>
    <t>petri_pellinen</t>
  </si>
  <si>
    <t>ambyr00</t>
  </si>
  <si>
    <t>vihameemipolice</t>
  </si>
  <si>
    <t>porkka_pekka</t>
  </si>
  <si>
    <t>haukkatar70</t>
  </si>
  <si>
    <t>kikkimirri</t>
  </si>
  <si>
    <t>terrieri4</t>
  </si>
  <si>
    <t>bp20185</t>
  </si>
  <si>
    <t>citizensawarena</t>
  </si>
  <si>
    <t>aikuinen1</t>
  </si>
  <si>
    <t>lainerjlaine</t>
  </si>
  <si>
    <t>finnelandia</t>
  </si>
  <si>
    <t>taskinenvili</t>
  </si>
  <si>
    <t>foliohattu5g</t>
  </si>
  <si>
    <t>eevapirila</t>
  </si>
  <si>
    <t>petri190722231</t>
  </si>
  <si>
    <t>_amr_2</t>
  </si>
  <si>
    <t>mikkofabric</t>
  </si>
  <si>
    <t>paulapauleena</t>
  </si>
  <si>
    <t>apekanerva</t>
  </si>
  <si>
    <t>ardenorde</t>
  </si>
  <si>
    <t>heinikettunen</t>
  </si>
  <si>
    <t>river17_eaglle</t>
  </si>
  <si>
    <t>hilmisdilmis</t>
  </si>
  <si>
    <t>teris69400629</t>
  </si>
  <si>
    <t>maalaistollo</t>
  </si>
  <si>
    <t>astfroglogy</t>
  </si>
  <si>
    <t>merilainenriina</t>
  </si>
  <si>
    <t>_flashman_harry</t>
  </si>
  <si>
    <t>benelef999</t>
  </si>
  <si>
    <t>reviewpierre</t>
  </si>
  <si>
    <t>anitta65875243</t>
  </si>
  <si>
    <t>mpbacardinen</t>
  </si>
  <si>
    <t>mbacardinen</t>
  </si>
  <si>
    <t>sannapiipponen</t>
  </si>
  <si>
    <t>anttiheikkil2</t>
  </si>
  <si>
    <t>eramaas</t>
  </si>
  <si>
    <t>huuhtanenpanu</t>
  </si>
  <si>
    <t>laski77</t>
  </si>
  <si>
    <t>f1nhammer</t>
  </si>
  <si>
    <t>penjussi</t>
  </si>
  <si>
    <t>universumin</t>
  </si>
  <si>
    <t>heikkivienonen1</t>
  </si>
  <si>
    <t>madetojastig</t>
  </si>
  <si>
    <t>vyyhdinpurkaja</t>
  </si>
  <si>
    <t>mikaelniku</t>
  </si>
  <si>
    <t>kehottelija</t>
  </si>
  <si>
    <t>miskakemppinen</t>
  </si>
  <si>
    <t>joakimwahlberg</t>
  </si>
  <si>
    <t>tmhirvi</t>
  </si>
  <si>
    <t>takapirulainen</t>
  </si>
  <si>
    <t>matti_lampi</t>
  </si>
  <si>
    <t>ounaskoski</t>
  </si>
  <si>
    <t>hezerminator</t>
  </si>
  <si>
    <t>quuquu</t>
  </si>
  <si>
    <t>katjakurk</t>
  </si>
  <si>
    <t>sliquid84</t>
  </si>
  <si>
    <t>nenuhnet</t>
  </si>
  <si>
    <t>thatbonsaipanda</t>
  </si>
  <si>
    <t>mikkojokela4</t>
  </si>
  <si>
    <t>lundeee</t>
  </si>
  <si>
    <t>tiedonhalu</t>
  </si>
  <si>
    <t>eskoluukkonen4</t>
  </si>
  <si>
    <t>nullius_</t>
  </si>
  <si>
    <t>grrr_marta</t>
  </si>
  <si>
    <t>akottarainen</t>
  </si>
  <si>
    <t>tatianadesancti</t>
  </si>
  <si>
    <t>timahmc</t>
  </si>
  <si>
    <t>kviikari</t>
  </si>
  <si>
    <t>eliasaarnio</t>
  </si>
  <si>
    <t>jvnevalainen</t>
  </si>
  <si>
    <t>koala79124457</t>
  </si>
  <si>
    <t>mmaitoparta</t>
  </si>
  <si>
    <t>akimiettinen1</t>
  </si>
  <si>
    <t>katrintviitit</t>
  </si>
  <si>
    <t>sekoomus</t>
  </si>
  <si>
    <t>rope55543770</t>
  </si>
  <si>
    <t>ryyppop</t>
  </si>
  <si>
    <t>markkulaitinen3</t>
  </si>
  <si>
    <t>lauri_paavola</t>
  </si>
  <si>
    <t>mikkokorhonen12</t>
  </si>
  <si>
    <t>artokekkonen</t>
  </si>
  <si>
    <t>pee_ranta</t>
  </si>
  <si>
    <t>siniveikko</t>
  </si>
  <si>
    <t>vainikainen</t>
  </si>
  <si>
    <t>jammusaloniemi</t>
  </si>
  <si>
    <t>korpinenlaura</t>
  </si>
  <si>
    <t>paullindema</t>
  </si>
  <si>
    <t>henri54106227</t>
  </si>
  <si>
    <t>makrikali</t>
  </si>
  <si>
    <t>artolehikoinen</t>
  </si>
  <si>
    <t>apostkristitty</t>
  </si>
  <si>
    <t>haadrobin</t>
  </si>
  <si>
    <t>jarnosaukkorii1</t>
  </si>
  <si>
    <t>kissanviikset1</t>
  </si>
  <si>
    <t>coolseppo</t>
  </si>
  <si>
    <t>raitziger</t>
  </si>
  <si>
    <t>leanvaltio</t>
  </si>
  <si>
    <t>sujofin</t>
  </si>
  <si>
    <t>jared_lyu</t>
  </si>
  <si>
    <t>paulie880</t>
  </si>
  <si>
    <t>ekurzw</t>
  </si>
  <si>
    <t>p_suvi</t>
  </si>
  <si>
    <t>pauliin32733008</t>
  </si>
  <si>
    <t>petterileppa</t>
  </si>
  <si>
    <t>jt36292090</t>
  </si>
  <si>
    <t>r_riitta</t>
  </si>
  <si>
    <t>lestercdiamond</t>
  </si>
  <si>
    <t>clpssdnl</t>
  </si>
  <si>
    <t>useyour_____</t>
  </si>
  <si>
    <t>essihelminen</t>
  </si>
  <si>
    <t>babutheemperor</t>
  </si>
  <si>
    <t>s___n_r_______n</t>
  </si>
  <si>
    <t>vuokkovirkki</t>
  </si>
  <si>
    <t>psivonen</t>
  </si>
  <si>
    <t>teetee63tee</t>
  </si>
  <si>
    <t>koronakuiskaaja</t>
  </si>
  <si>
    <t>marquez_fi</t>
  </si>
  <si>
    <t>nestorihuuskon1</t>
  </si>
  <si>
    <t>ehle81</t>
  </si>
  <si>
    <t>mvirtanen</t>
  </si>
  <si>
    <t>iamantero</t>
  </si>
  <si>
    <t>okuokka</t>
  </si>
  <si>
    <t>turnukkaparta</t>
  </si>
  <si>
    <t>pesakauha</t>
  </si>
  <si>
    <t>kankioy</t>
  </si>
  <si>
    <t>investorimagin1</t>
  </si>
  <si>
    <t>koljonen_tuomas</t>
  </si>
  <si>
    <t>yleuutiset</t>
  </si>
  <si>
    <t>hpekk</t>
  </si>
  <si>
    <t>nymanveepee</t>
  </si>
  <si>
    <t>jantunenkaarina</t>
  </si>
  <si>
    <t>iltasanomat</t>
  </si>
  <si>
    <t>lasleh</t>
  </si>
  <si>
    <t>heikkipalve</t>
  </si>
  <si>
    <t>elohenri</t>
  </si>
  <si>
    <t>mikaihamuotila</t>
  </si>
  <si>
    <t>esahakarauta</t>
  </si>
  <si>
    <t>sarasvuojari</t>
  </si>
  <si>
    <t>darguner1</t>
  </si>
  <si>
    <t>sariheinonen5</t>
  </si>
  <si>
    <t>matti_reinikka</t>
  </si>
  <si>
    <t>marianordin</t>
  </si>
  <si>
    <t>tuohon</t>
  </si>
  <si>
    <t>finreccu</t>
  </si>
  <si>
    <t>samuligloersen</t>
  </si>
  <si>
    <t>rippperjohnson</t>
  </si>
  <si>
    <t>hannu42</t>
  </si>
  <si>
    <t>pbyrokraatti</t>
  </si>
  <si>
    <t>samiantinniemi</t>
  </si>
  <si>
    <t>shhsami</t>
  </si>
  <si>
    <t>sebastianmaki</t>
  </si>
  <si>
    <t>molkanenoskari</t>
  </si>
  <si>
    <t>arquez13</t>
  </si>
  <si>
    <t>kimmorautanen</t>
  </si>
  <si>
    <t>anttipirttimaki</t>
  </si>
  <si>
    <t>tuomejoo</t>
  </si>
  <si>
    <t>viren_matti</t>
  </si>
  <si>
    <t>zin_zah</t>
  </si>
  <si>
    <t>teuraskarju</t>
  </si>
  <si>
    <t>tapio_suominen</t>
  </si>
  <si>
    <t>karnamikko</t>
  </si>
  <si>
    <t>lehtinenmarkkua</t>
  </si>
  <si>
    <t>jethrorostedt</t>
  </si>
  <si>
    <t>tommih9</t>
  </si>
  <si>
    <t>dgtiainen</t>
  </si>
  <si>
    <t>koivupuroeero</t>
  </si>
  <si>
    <t>totuusseerumi</t>
  </si>
  <si>
    <t>lindenaki</t>
  </si>
  <si>
    <t>hannasokajarvi</t>
  </si>
  <si>
    <t>hoopoilua</t>
  </si>
  <si>
    <t>beetas</t>
  </si>
  <si>
    <t>spihatto</t>
  </si>
  <si>
    <t>matsronnback</t>
  </si>
  <si>
    <t>hobfit1</t>
  </si>
  <si>
    <t>jussi2018</t>
  </si>
  <si>
    <t>katariinag1234</t>
  </si>
  <si>
    <t>tomiaalto3</t>
  </si>
  <si>
    <t>hnohynek</t>
  </si>
  <si>
    <t>mika_salminen</t>
  </si>
  <si>
    <t>nasimarazmyar</t>
  </si>
  <si>
    <t>koomikkokivi</t>
  </si>
  <si>
    <t>suviturtiainen</t>
  </si>
  <si>
    <t>emppuvuori</t>
  </si>
  <si>
    <t>er_korhola</t>
  </si>
  <si>
    <t>sale43903750</t>
  </si>
  <si>
    <t>jipefin</t>
  </si>
  <si>
    <t>janus_putkonen</t>
  </si>
  <si>
    <t>johanbek</t>
  </si>
  <si>
    <t>juha_korh2</t>
  </si>
  <si>
    <t>reaverteknogods</t>
  </si>
  <si>
    <t>ikenovikoff</t>
  </si>
  <si>
    <t>laurahuhtasaari</t>
  </si>
  <si>
    <t>huhtasaarisaara</t>
  </si>
  <si>
    <t>kromantikko</t>
  </si>
  <si>
    <t>fimea</t>
  </si>
  <si>
    <t>thlorg</t>
  </si>
  <si>
    <t>hus_fi</t>
  </si>
  <si>
    <t>janimakelafi</t>
  </si>
  <si>
    <t>hakalaolli</t>
  </si>
  <si>
    <t>sarisarkomaa</t>
  </si>
  <si>
    <t>isakstom</t>
  </si>
  <si>
    <t>tiinakeskimki</t>
  </si>
  <si>
    <t>mirkhe</t>
  </si>
  <si>
    <t>aittolaeija</t>
  </si>
  <si>
    <t>turtiainenano</t>
  </si>
  <si>
    <t>muhisazizi</t>
  </si>
  <si>
    <t>tommi_kinnunen</t>
  </si>
  <si>
    <t>hituvati</t>
  </si>
  <si>
    <t>jyrkikononen</t>
  </si>
  <si>
    <t>vsavela</t>
  </si>
  <si>
    <t>hannon_harriet</t>
  </si>
  <si>
    <t>svarmavuo</t>
  </si>
  <si>
    <t>jonnasep</t>
  </si>
  <si>
    <t>odds_12</t>
  </si>
  <si>
    <t>laumansuojaaja</t>
  </si>
  <si>
    <t>montomik</t>
  </si>
  <si>
    <t>arttuhamalainen</t>
  </si>
  <si>
    <t>leenakeinnen1</t>
  </si>
  <si>
    <t>teslailija</t>
  </si>
  <si>
    <t>pierrekory</t>
  </si>
  <si>
    <t>mkorja</t>
  </si>
  <si>
    <t>lotta_hallstrom</t>
  </si>
  <si>
    <t>pbockerman</t>
  </si>
  <si>
    <t>jounipeltoniemi</t>
  </si>
  <si>
    <t>kiili</t>
  </si>
  <si>
    <t>nakkeman</t>
  </si>
  <si>
    <t>xarzi19</t>
  </si>
  <si>
    <t>jutasa54</t>
  </si>
  <si>
    <t>maaninkavaara</t>
  </si>
  <si>
    <t>markussovala</t>
  </si>
  <si>
    <t>kreetalainen</t>
  </si>
  <si>
    <t>maria33385</t>
  </si>
  <si>
    <t>tuomasenbuske</t>
  </si>
  <si>
    <t>ihmemimmi</t>
  </si>
  <si>
    <t>pmeemit</t>
  </si>
  <si>
    <t>pirijanne</t>
  </si>
  <si>
    <t>zirkkeli1</t>
  </si>
  <si>
    <t>79tuuli</t>
  </si>
  <si>
    <t>minna_talvitie</t>
  </si>
  <si>
    <t>riku_ranta</t>
  </si>
  <si>
    <t>nuuska</t>
  </si>
  <si>
    <t>hsfi</t>
  </si>
  <si>
    <t>anrajala</t>
  </si>
  <si>
    <t>leanjuha</t>
  </si>
  <si>
    <t>vainionpaaeero</t>
  </si>
  <si>
    <t>anni_lahti_</t>
  </si>
  <si>
    <t>jarnovirtanen2</t>
  </si>
  <si>
    <t>satuhassi</t>
  </si>
  <si>
    <t>mikaeljungner</t>
  </si>
  <si>
    <t>lauri_linden</t>
  </si>
  <si>
    <t>jukkapetterila1</t>
  </si>
  <si>
    <t>who</t>
  </si>
  <si>
    <t>stm_uutiset</t>
  </si>
  <si>
    <t>salineero</t>
  </si>
  <si>
    <t>ivanpuopolo</t>
  </si>
  <si>
    <t>anttigee</t>
  </si>
  <si>
    <t>uusisuomi</t>
  </si>
  <si>
    <t>soalmila</t>
  </si>
  <si>
    <t>juhaniknuuti</t>
  </si>
  <si>
    <t>mtvsuomi</t>
  </si>
  <si>
    <t>timo_lappi</t>
  </si>
  <si>
    <t>minnaeck</t>
  </si>
  <si>
    <t>a28748626</t>
  </si>
  <si>
    <t>xxxeerh</t>
  </si>
  <si>
    <t>perttipiirto</t>
  </si>
  <si>
    <t>kaarirossi</t>
  </si>
  <si>
    <t>ailavilen</t>
  </si>
  <si>
    <t>panu_saarela</t>
  </si>
  <si>
    <t>puolimatkatapio</t>
  </si>
  <si>
    <t>Retweet</t>
  </si>
  <si>
    <t>Replies to</t>
  </si>
  <si>
    <t>Mentions</t>
  </si>
  <si>
    <t>MentionsInRetweet</t>
  </si>
  <si>
    <t>@InvestorImagin1 @KoomikkoKivi Samoilla linjoilla. Lisäksi piikille olisi turvallisempikin lääkitys tarjolla, mutta sitä ei poliittisista syistä suositella, jenkeissä jopa kielletty ivermektiini. 
Sillä on saavutettu loistavia hoitotuloksia, esim japanissa, intiassaa, indonesiassa...
https://t.co/eOsVr9LVgu</t>
  </si>
  <si>
    <t>Näyttää silta että #Suomessa aiheutetaan ihan tahalleen #koronakriisi taas jälleen kerran hallituksen toimesta.
Miksi suomalaisilta rajoitetaan pois #ivermektiini, mikä on saatavilla ilman reseptiä useissa maissa, joissa kansa ei kärsi koronasta.
#Rokonarokote ei ole ratkaisu. https://t.co/xgrFFEx7zP</t>
  </si>
  <si>
    <t>Ivermektiini pysäytti Koronan Japanissa.Miksi ei Suomessa sitten ? https://t.co/JVVbxikzuj</t>
  </si>
  <si>
    <t>@Koljonen_Tuomas Mielestäni ilman muuta pitää olla antiviraalit mukana. Pfizerin uusi vaan on aika tyyris 700 taalaa kun saman periaatteen Ivermektiini on 7 senttiä. Fluvoksamiinista on lupaavia tuloksia myös. Sekä-että, ei joko-tai. Yleensäkään.</t>
  </si>
  <si>
    <t>@leanvaltio @Raitziger Periaatteen toimiminen ei ole tae itse lääkkeen tehosta.
Jos ivermektiini tepsisi hyvin koronaa vastaan, miksi se ei ole laajamittaisessa käytössä? Varmasti tuhannet lääkärit ja tutkijat ovat perehtyneet aiheeseen eivätkä kuitenkaan suosittele lähes ilmaista lääkettä.</t>
  </si>
  <si>
    <t>@NymanVeepee @hpekk @yleuutiset Tiedätkö sä mitä ivermektiini on?</t>
  </si>
  <si>
    <t>Jälleen valeuutinen. Oikeasti ei ole mitään muuta varianttia kuin korona -piikillä elimistöön saatettu covid-19 bioase, johon auttaa mm. ivermektiini.
"Tarttuuko herkemmin, kiertääkö rokotesuojaa? Tämä uudesta koronamuunnoksesta tiedetään nyt" https://t.co/bKoUJBx60X</t>
  </si>
  <si>
    <t>@lasleh @JantunenKaarina @iltasanomat Turhaa näistä määristä valittaa. Ivermektiini on todettuu tehokkaaksi monissa maissa, joissa korona on jo voitettu.</t>
  </si>
  <si>
    <t>Hoi, kannabisaktiivit, oletteko ajatelleet _xD83D__xDC47_
Lääkekannabis&amp;amp;ivermektiini, yllättävän paljon yhtäläisiä tekijöitä mutta yksi olennainen ero minkä vuoksi ymmärrätte vain toisen lääketieteellisen potentiaalin.
Asiantuntijat kuten @heikkipalve ei löydä kummankaan. Samasta syystä. https://t.co/Dyme8gD1sw</t>
  </si>
  <si>
    <t>@SarasvuoJari @EsaHakarauta @MikaIhamuotila @EloHenri Sanon jonkun tosi huonomaineisen sanan: Ivermektiini.</t>
  </si>
  <si>
    <t>Tämäkin suomalainen lääke ollut tiedossa jo toukokuussa, mutta ei kiinnosta päättäjiä_xD83E__xDD14_
"Uudessa lääkkeessä käytettävät vaikuttavat aineet aprotiniini, hydroksiklorokiini ja ivermektiini, ovat tunnettuja ja ne ovat laajalti käytössä."
https://t.co/K02O4bxUKM</t>
  </si>
  <si>
    <t>@darguner1 @SarasvuoJari @EsaHakarauta @MikaIhamuotila @EloHenri Sen testit lopetettiin kun placebo porukkaa ja ivermektiini porukkaa kuoli yhtä paljo. Epäinhimillistä kuulemma.</t>
  </si>
  <si>
    <t>@MattiMuukkonen Tällainen oli koronataudin saaneen ihmisen hämmentynyt reaktio, kun hän pyysi lääkäriltä lääkettä ja lääkäri sanoi:
"Haista sinä vittu paska denialisti!! Ivermektiini on hevosten perselääke ja ne neljä muuta on hyväksytty USA:ssa mutta en anna sulle denialisti KUOLE KUOLE KUOLE!"</t>
  </si>
  <si>
    <t>Körönäkööri estää Suomessa?
IVM Ivermektiini tabletti-hoidolla saa todistetusti tuloksia. Lähes ilmainen ja ilman lääkejättien patentteja! _xD83C__xDF52_❣ (rokottamattomat&amp;amp;rokotetut) https://t.co/17lG9kq9yi</t>
  </si>
  <si>
    <t>Tehdäänkö myös rokotetuista koronaan kuolleista samanlaisia tarinoita ja uutisia kuin tapauksesta, jossa rokottamaton on kuollut koronaan?
Entä oliko kuolleella muita sairauksia ja laiminlyötiinkö muiden hoitojen käyttö (mm. ivermektiini)?
https://t.co/PZDvLZ6cec</t>
  </si>
  <si>
    <t>@SariHeinonen5 En usko. Virus ei voi olla yhtä aikaa sekä tappava, että herkästi leviävä koska kuollut isäntä ei mahdollista leviämistä. Ja muutenkin, meillä on tehokas hoito, ivermektiini, joka tehoaa tähän virukseen eli kaikkiin sen variaatioihin. Eli keino päästä pöpöstä eroon on, ei haluta?</t>
  </si>
  <si>
    <t>@matti_reinikka @MikaIhamuotila Juu niin on, taisivat jo Japanissa ja osassa Intiaa ottaakin käyttöön ja korona käytännössä hävisi sieltä. Ivermektiini on lääkkeen nimi ja taitaa sillä olla ikääkin jo parikymmentä vuotta.</t>
  </si>
  <si>
    <t>@TuoHon @MariaNordin Kukin voi vapaasti avartaa ja päivittää tietämystään maailmankuvaansa - Japani on ottanut käyttöönsä lähes ilmaiset ivermektiini tablettihoidit onnistuneesti.</t>
  </si>
  <si>
    <t>@hannu42 @RippperJohnson @FinReccu @SamuliGloersen @rvalimaki @ApeKanerva Luettele kaikki hoitokeinot lisääntyvän kontrollin ja mrna-injektioiden lisäksi mitä on käytetty tai ehdotettu? 
Pfizerin uudelleen brändäämä ivermektiini?</t>
  </si>
  <si>
    <t>@rvalimaki @hannu42 @RippperJohnson @FinReccu @SamuliGloersen @ApeKanerva Ja kun laitat sen uuteen pakettiin niin brändäät saman tuotteen uusiksi, eikö niin? 
Eikö Pfizerin uudessa lääkkeessä ollut kolmea vaikuttavaa ainetta, joista yksi ivermektiini?</t>
  </si>
  <si>
    <t>@JohnPulm @hannu42 @RippperJohnson @FinReccu @SamuliGloersen @ApeKanerva Ivermektiini ei ole brändinimi, vaan lääkeaine.
Ibuprofeenin brändinimiä ovat Burana, Ibumax, Ibusal jne.
Ivermektiinin brändinimiä ovat mm. Stromectol, Ivercop jne.
Pfizerin uusi covid-lääke ei tainnut olla ivermektiiniä.</t>
  </si>
  <si>
    <t>@RippperJohnson @SamuliGloersen @JohnPulm @hannu42 @FinReccu @ApeKanerva Trump ei liity asiaan yhtään mitenkään.
Ivermektiinin tehoa koronan hoitamiseen on tutkittu, mutta ei havaittu.
@SamuliGloersen lainauksessa yllä tosin on, että saattaa auttaa niitä koronapotilaita, jotka sattuvat kärsimään myös madoista, joille ivermektiini on hyvä lääke.</t>
  </si>
  <si>
    <t>@pbyrokraatti Vastasin Ivermektiini, koska turvavyöstä en ole saanut mikrosirua 5G:tä varten. 5g:tä ei myöskään tullut koronarokotteista. _xD83E__xDD37_
https://t.co/OpdQH0xW9K</t>
  </si>
  <si>
    <t>@pbyrokraatti Viimeinen käytännön pila kollegoille, kun tulevat kolaripaikalle ja mulla on paskat housussa - ivermektiini</t>
  </si>
  <si>
    <t>@SamiAntinniemi Häneltä sain vihiä tepsivästä longcovid hoidostakin _xD83D__xDC4D_
Sinusta saattaa tulla Suomen tohtori Papu _xD83E__xDD14_ On sen verran pitävä ote ivermektiini videossasi ❤️
Mikäköhän mahtaa olla seuraava aiheesi... typpioksidi vs virus _xD83E__xDD14_</t>
  </si>
  <si>
    <t>@pbyrokraatti Turvavyö on jo kiinni, joten ainoa vaihtoehto taitaa olla ivermektiini. En tosin ymmärrä miksi haluaisin ottaa sen, tai miksi se estäisi törmäyksen.
Toisaalta, jos joku julkaisisi kontrolloidun tuplasokkotutkimuksen koronan hoidossa positiivisin tuloksin, saattaisin harkita.</t>
  </si>
  <si>
    <t>@tmhirvi @ShhSami @OKuokka Tohtoriopiskelija väittää, että ivermektiini ei toimi.
Rokoteuskovaiset:
"Juuri näin!!!"
mRNA-rokotteiden keksijä sanoo, että ivermektiini toimii.
Myös rokoteuskovaiset:
"Wööö fake news, toi äijä on pihalla."</t>
  </si>
  <si>
    <t>@SebastianMaki @lasleh Ivermektiini ja HCQ käyttöön rokotteen sijaan niin ei tuli yhtä paljoa ruumiita.</t>
  </si>
  <si>
    <t>@MolkanenOskari @KorpinenLaura @MikaIhamuotila Kyllähän niitä on paljon lääkkeitä kuten ivermektiini joilla on saatu hyviä tuloksia. Kysymys kuuluu miksi sitä ei saisi käyttää? Agenda on että jos joku toimisi paremmin kuin piikit ei piikkejä enää kukaan haluaisi.</t>
  </si>
  <si>
    <t>@pbyrokraatti Ivermektiini käy kaikkeen koska on voittanut Nobel-palkinnon. Käytän närästykseen ja alaselkäkipuun</t>
  </si>
  <si>
    <t>@EevaPirila @MaKriKaLi @KimmoRautanen @Arquez13 Mikä? Arfikassa ja Intiassa käsittääkseni menee ihan hyvin kun ivermektiini otettiin käyttöön rokotteen sijaan.</t>
  </si>
  <si>
    <t>@tuomejoo @anttipirttimaki Väärin! Ivermektiini, loislääke, jota käytetään pääasiassa karjan madonpoistoon, EI ole hyväksytty COVID-19-hoidossa Japanissa.
COVID-19-hoidossa hyväksytyt lääkkeet määrittää Japanin lääke- ja lääkinnällisten laitteiden virasto (PMDA) _xD83D__xDC47_ https://t.co/sonzXIqyt4</t>
  </si>
  <si>
    <t>@viren_matti Ivermektiini tehoaa Japanissa !!! 
Miksi Suomessa EI EDES KOKEILLA ivermektiinin tehoa????
Käsittämätön munaus !!!!</t>
  </si>
  <si>
    <t>@KorpinenLaura Rupea puhumaan -ivermektiini- puolesta!! 
Hölmöä kun sitä ei huomioida laisinkaan, vaikka se toimii hyvin Japanissa!</t>
  </si>
  <si>
    <t>@SarasvuoJari Tulisipa markkinoille jo Pfizerin Paxlovid suunkautta otettava rokote(ivermektiini kopio), niin kaikki voivat ottaa sitä ja kaikki voittavat, jopa pandemiankin. Paxlovidissa on sama kuin Ivermektiinissä, tunnetaan koodilla: PF-07321332</t>
  </si>
  <si>
    <t>@teuraskarju @zin_zah Ei tarvi. Niillä on ivermektiini käytössä (alunperin muista syistä) ja erittäin alhaiset korona luvut.</t>
  </si>
  <si>
    <t>@tapio_suominen "Hevosten matolääke" Ivermektiini on laajasti käytössä myös ihmisille. Sitä määrätään sadoille tuhansille ihmisille joka vuosi. Samoin kuin tuhansia muitakin lääkkeitä.</t>
  </si>
  <si>
    <t>@tapio_suominen Kyllä määrätään. Ei vaan meille tavallisille ihmisille.. Yhdysvalloissa tuhansia potilaita hoidettu ivermektiinillä, kuuluisin heistä ehkä Joe Rogan. Sai koronan ja parantui parissa päivässä. Sai kuraa niskaan kun kertoi julkisesti että ivermektiini auttoi...</t>
  </si>
  <si>
    <t>@lehtinenmarkkua @KatjaKurk @KarnaMikko Noh noh, eipäs yleistetä siellä._xD83D__xDE00_
On niitä, mm:
-Rokotteet vuotavat
-Rokote ei estä tehohoitoon joutumista
-Sairastuneen rokotetun virusmäärä rokottamatonta vastaava
-Vaihtoehtoiset hoitomuodot, mm. ivermektiini
-Koronakuolleisuus kausi-influenssan tasoa Suomessa</t>
  </si>
  <si>
    <t>@KoivupuroEero @DgTiainen @TommiH9 @JethroRostedt Myös kausi-influenssa on tappava tauti huonokuntoiselle. Rokotteiden tilalle pitäisi saada ivermektiini, nuo piikit ei oikein toimi.</t>
  </si>
  <si>
    <t>@HannaSokajarvi @hoopoilua @totuusseerumi @LindenAki Ivermektiini todistetusti toimii koronan hoidossa sanoo tutkimusnäyttö. 3/3 https://t.co/hK9jhsuDNA</t>
  </si>
  <si>
    <t>@hoopoilua @HannaSokajarvi @LindenAki Ei toimi. Rokotteet vuotaa ja äskettäin jo lähes 70% tehohoidon potilaista oli rokotettuja.
Briteissä aikuisista tartunnan saaneista jo reilu enemmistö on 2x rokotettuja.
Vuotavat piikit pois ja ivermektiini jo vihdoin tilalle niin loppuu tämä koronashow.</t>
  </si>
  <si>
    <t>@HannaSokajarvi @hoopoilua @LindenAki Ivermektiini, hengityskoneen tilalle aspiriini, nimittäin se poistaa pienet verisuonitukokset keuhkoista.</t>
  </si>
  <si>
    <t>@beetas @InvestorImagin1 @KoomikkoKivi Höpönasssu. Ivermektiini on loistava lääke, rokotteen sijaan!</t>
  </si>
  <si>
    <t>@LindenAki Kysyä myös voi, mitä haittaa tai hyötyä olisi ollut, jos jo viimevuonna olisi otettu käyttöön ivermektiiniin pohjautuva lääkitys?
https://t.co/ZHXf85tSn1
Japan crushes Big Pharma with a small yet effective move
https://t.co/eOsVr9LVgu
https://t.co/Utvshh2kb0</t>
  </si>
  <si>
    <t>@jyrkikononen @SPihatto Eipä ole, vaan ivermektiini. https://t.co/rHoMz9DGjG</t>
  </si>
  <si>
    <t>Siitä ivermektiinistä vielä. ”Ei siitä haittaakaan ole” ei oikein toimi lääkeaineiden kanssa, kun niiden on vähänniinku just tarkoitus vaikuttaa elimistöön. Tässä on Merckin #ivermektiini-käyttöturvallisuustiedote. 
https://t.co/jF28v3EyJL https://t.co/XkI9WXKQ5w</t>
  </si>
  <si>
    <t>@hobfit1 @MatsRonnback Sekä D-vitamiini ja mm. ivermektiini. Jos katsoo vaikka Suomen ja UK:n tartuntatilastoja, ei ne seuraa rokotekattavuutta vaan kesän ja talven vaihtelua.</t>
  </si>
  <si>
    <t>@katariinag1234 @jussi2018 Idealistinen ajatus. Jo pandemian alussa meillä oli toimivat lääkkeet, ivermektiini ja D-vitamiini.  Niistä tehdään väittämiä, ettei ne tehoa. Ei voi välttyä ajatukselta, että tilalle haluttiin kalliit patentoidut lääkkeet. Myös Intia taltutti koronan ivermektiinillä.</t>
  </si>
  <si>
    <t>@TomiAalto3 Ei ole käytössä. Tragikoomista on, että meillä on ollut ne käytettävissä jo pandemian alusta. Kuten moni on jo maininnut ne ovat D-vitamiini ja ivermektiini. 
Siitä huolimatta meille kerrotaan, että puolitehoinen rokote on ainoa poispääsy.</t>
  </si>
  <si>
    <t>Mitä Japani on tehnyt sellaista jota Suomessa ei ole tehty? #ivermektiini @mika_salminen @HNohynek https://t.co/2lxq6QVlTZ</t>
  </si>
  <si>
    <t>@NasimaRazmyar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</si>
  <si>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@suviturtiainen Ivermektiini on myös yksi suomalaisen koronalääkkeen (jolla ei ole vielä myyntilupaa) vaikuttavista aineista https://t.co/DhRn4GWOBl</t>
  </si>
  <si>
    <t>”Lääkeen vaikuttavat aineet ovat aprotiniini, hydroksiklorokiini ja ivermektiini, jotka ovat ennestään tunnettuja aineita”
https://t.co/r4PSppoIQI</t>
  </si>
  <si>
    <t>@suviturtiainen Miksi pilkkaat ivermektiiniä? Oletko uskonut pelkkää propagandaa tutustumatta taustoihin? Ivermektiini on halpa ja turvallinen lääke. Luultavasti vielä paljon turvallisempi kuin mRNA-rokotteet.</t>
  </si>
  <si>
    <t>@EmppuVuori Kyllä niitä on. Intiassa ja Japanissa on ollut käytössä ivermektiini. Uusia on mm. Pfizerin paxlovid sekä mm. Viron ja Britannian tilaama Merckin Molnupiravir, ynnä muita.</t>
  </si>
  <si>
    <t>@ER_Korhola Ns. virallinen käsitys on, että (nykyiset) koronarokotteet ovat *ainoa* tie ulos pandemiasta.
Kaikki muu kuten em. 1) - 4) koetaan uhaksi, ml. potentiaalisesti ennaltaehkäisevät, hoitavat ja parantavat lääkeaineet kuten hydroksiklorokiini ja ivermektiini, joita kyseenalaistetaan.</t>
  </si>
  <si>
    <t>"Uudessa lääkkeessä käytettävät vaikuttavat aineet aprotiniini, hydroksiklorokiini ja #ivermektiini, ovat tunnettuja ja ne ovat laajalti käytössä". https://t.co/CFTlbGo83J</t>
  </si>
  <si>
    <t>@Sale43903750 @AnttiHeikkil2 Japanissa on toisin.. Ivermektiini sallittu. Käyttöön täälläkin.</t>
  </si>
  <si>
    <t>@HakalaOlli @HuuhtanenPanu @TiinaKeskimki @kromantikko @HuhtasaariSaara @LauraHuhtasaari @TurtiainenAno @IkeNovikoff @ReaverTeknoGods @Juha_Korh2 @johanbek @janus_putkonen @JipeFIN Ottakaa nyt ihmeessä Suomessakin muualla hyviksi todetut lääkkeet käyttöön: D- ja C-vitamiinin ja sinkin lisäksi  hydroksiklorokiini ja/tai ivermektiini.</t>
  </si>
  <si>
    <t>@JaniMakelaFi Ivermektiini on "huono pelastaja" koska se on edullinen ja ei lihota lääkefirmojen kassaa eikä siitä kassasta voi siten lahjoa poliitikkoja ja @HUS_fi, @THLorg ja @Fimea mengeleitä.</t>
  </si>
  <si>
    <t>@sarisarkomaa Ottakaa nyt ihmeessä Suomessakin muualla hyviksi todetut lääkkeet käyttöön: D- ja C-vitamiinin ja sinkin lisäksi  hydroksiklorokiini ja/tai ivermektiini. MRNA-piikitys kierre näyttää tilastojen valossa väärältä valinnalta.</t>
  </si>
  <si>
    <t>@isakstom Ottakaa nyt ihmeessä Suomessakin muualla hyviksi todetut lääkkeet käyttöön: D- ja C-vitamiinin ja sinkin lisäksi  hydroksiklorokiini ja/tai ivermektiini.</t>
  </si>
  <si>
    <t>@TiinaKeskimki Suomessakin tulee ottaa muualla hyviksi todetut lääkkeet käyttöön: D- ja C-vitamiinin ja sinkin lisäksi  hydroksiklorokiini ja/tai ivermektiini.</t>
  </si>
  <si>
    <t>@mirkhe Suomessakin käyttöön muualla hyviksi todetut lääkkeet käyttöön: D- ja C-vitamiinin ja sinkin lisäksi  hydroksiklorokiini ja/tai ivermektiini.</t>
  </si>
  <si>
    <t>@AittolaEija Laumasuojaa yritetään vuotavalla piikillä.. . Ei onnistu sekään. Nyt ivermektiini ja vitamiinit käyttöön.</t>
  </si>
  <si>
    <t>@TomiAalto3 Koronapiikitys oli virhejuttu. Ois kokeiltu edes ivermektiini ja D-vitamiinia ensin.</t>
  </si>
  <si>
    <t>@NasimaRazmyar Ottakaa nyt ihmeessä Suomessakin muualla hyviksi todetut lääkkeet käyttöön: D- ja C-vitamiinin ja sinkin lisäksi  hydroksiklorokiini ja/tai ivermektiini. MRNA-piikki yksin  näyttää pahentavan tilannetta.</t>
  </si>
  <si>
    <t>@Tommi_Kinnunen @Muhisazizi https://t.co/1QAPQHYmF0 -sivusto, joka osoittaa 61 tutkimusta, joihin osallistui 23 000 potilasta ja jotka paljastavat jopa 96%: n kuoleman vähenemisen (ennaltaehkäisy) Ivermektiinillä.
Ivermektiini on tehokas, tehokkaampi kuin rokote.</t>
  </si>
  <si>
    <t>@laski77 @Tommi_Kinnunen @Muhisazizi Kannattaa lukea kokonaan mikäli Ivermektiini kiinnostaa.  https://t.co/l2ZzdB89Dx https://t.co/Fl62ZEX2Hs</t>
  </si>
  <si>
    <t>@lauri_paavola @hituvati @Tommi_Kinnunen @Muhisazizi https://t.co/mxX8xC2fN7</t>
  </si>
  <si>
    <t>@hituvati @Tommi_Kinnunen @Muhisazizi https://t.co/mxX8xC2fN7</t>
  </si>
  <si>
    <t>@KorpinenLaura "Uudessa lääkkeessä käytettävät vaikuttavat aineet aprotiniini, hydroksiklorokiini ja ivermektiini, ovat tunnettuja ja ne ovat laajalti käytössä."
Mitä veikkaat miksi siitä ei hirveästi puhuta</t>
  </si>
  <si>
    <t>@hannon_harriet @svarmavuo @VSavela En sanoisi ettei ivermektiini VOI toimia - sellaisen todistaminen on vaivalloisempaa kuin päinvastoin. Ei vain oikein ole näyttöä että toimisi, ei millään tasolla: molekyylit / solut / ihmiset.
Meidän kahvihuoneen pöydällä lehdessä etusivulla ivm-mainos! Eläinlääkärilehdessä.</t>
  </si>
  <si>
    <t>@svarmavuo @hannon_harriet @VSavela Ei nyt sentään 100%… mutta jotakuinkin 100% varmemmin ja turvallisemmin kuin ivermektiini :)</t>
  </si>
  <si>
    <t>@Koljonen_Tuomas Joo, olkaamme kiitollisia maaperän bakteereille! On nääs pirullisen vaikea molekyyli kemisteille tehtäväksi. Ivermektiini on hyvää kamaa siihen mihin sitä kuuluu käyttää, eli loisten hävittämiseen.</t>
  </si>
  <si>
    <t>@Koljonen_Tuomas @sujofin Jep. Tässäkin tullaan siihen, mihin mikäkin lääke oikeasti vaikuttaa tehokkaasti. Ivermektiini tappaa loiset tehokkaasti, joten annokset turvallisia. Vaikutus koronavirusta ja sen entsyymejä vastaan on osoitettu ziljardikertaisilla annoksilla suhteessa turvalliseen rajaan.</t>
  </si>
  <si>
    <t>Jos väitetään, että ivermektiini toimii matojen ohella myös viruksiin, ja tuhoaa niin ionikanavat, proteaasit kuin polymeraasitkin, niin se on aine, joka tappaa KAIKEN talossa ja puutarhassa. Et halua popsia sellaista aamupalaksi.
(Oikeasti se on ihan hyvä lääke.. matoihin.)</t>
  </si>
  <si>
    <t>@PenJussi @Tommi_Kinnunen @jonnasep @Muhisazizi Tostapa. Ivermektiini on hyvä loislääke, mutta kuten kaikki tehokkaat lääkeaineet, sillä on myös haittavaikutuksia. Joten sitä kannattaa ottaa vain niihin vaivoihin, joihin se oikeasti auttaa. Eli niihin loisiin, lääkärin määräyksestä. https://t.co/VbYPUFzIjO</t>
  </si>
  <si>
    <t>@Tommi_Kinnunen @Muhisazizi Lol. Rokotukset eivät siis estä vakavaa tautimuotoa, koska rokotettujakin joutuu hoitoon, mutta Ivermektiini estäisi. Eihän siinä, kokeiluun vaan kaikille halukkaille ja jos käytöstä huolimatta joutuu tehohoitoon, niin ei katsota perussairauksia, ikää tms vaan todetaan "ei toimi"</t>
  </si>
  <si>
    <t>@KorpinenLaura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</si>
  <si>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@leanvaltio @MattiMuukkonen Ivermektiini on laillista ja hyvä lääke loisiin.</t>
  </si>
  <si>
    <t>@odds_12 Tämähän on nerokasta! Ihme, etten ole ennen nähnyt tuota havaintoa, vaikka olen lukenut vastakommentteja ivermektiini-intoilijoille.
Loistartunta: covid-19-taudin riskitekijä? https://t.co/lFMnXf4AiF</t>
  </si>
  <si>
    <t>@laumansuojaaja @KorpinenLaura @takapirulainen Anekdootin mukaan ivermektiini on vaikuttanut toimivan koronan torjunnassa maissa, joissa ihmisten loistartunnat ovat yleisiä.
Minulla _ei_ ole tutkimusta tuon tueksi, mutta loogistahan se olisi, että loisten häätö parantaisi niiden ihmisten vastustuskykyä, joilla on loisia.</t>
  </si>
  <si>
    <t>@matti_lampi @KorpinenLaura Ivermektiini on oikein käytettynä tehokas ja turvallinen lääke loisia vastaan.
Virusten tehokkaaseen torjuntaan vaadittaisiin vaan nykytiedolla (nieltynä) paljon isompia annoksia. Iv-hoitoa tukevien tutkimusten laatukin on ollut kyseenalainen.
https://t.co/tefV3O1FCG https://t.co/VbEIJ13Ywz</t>
  </si>
  <si>
    <t>@tmhirvi @KorpinenLaura No esimerkiksi maat joissa ivermektiini otettiin käyttöön, sillä saatiin hyviä vaikutuksia - &amp;gt; tilastollisesti tartunnat ja sairaalakäynnit putosivat ja olikohan chile vai peru jossa presidentin vaihdon myötä ivermektiini kiellettiin, lähtivät tapaukset jälleen nousuun</t>
  </si>
  <si>
    <t>@koronakuiskaaja @MMaitoparta @mika_salminen @HNohynek ivermektiini_xD83D__xDC4D_</t>
  </si>
  <si>
    <t>@montomik @PenJussi @lauri_paavola @Tommi_Kinnunen @jonnasep @Muhisazizi Ivermektiini toimii aivan helvetin hyvin useissa virustaudeissa. Se haittaa virusten replikoitumisprosessia joka antaa aikaa immuunipuolustukselle muodostaa vasta-aineita ennenkuin viruskuorma nousee liian korkeaksi.</t>
  </si>
  <si>
    <t>@Tommi_Kinnunen @Muhisazizi Tommi Kinnusella on näköjään oma kultti missä Ivermektiini on pelkästään hevosten matolääke
https://t.co/mxX8xC2fN7</t>
  </si>
  <si>
    <t>@Tommi_Kinnunen @Muhisazizi "Ivermektiini Lääkeaine
Ivermektiini on makrosyklinen laktoneihin kuuluva lääkeaine.Sitä käytetään niin ihmis- kuin eläinlääketieteessäkin useiden loisten kuten syyhypunkin,päätäiden,jokisokeutta aiheuttavan Onchocerca volvulus -madon ja elefanttitautia aiheuttavien sukkulamat...</t>
  </si>
  <si>
    <t>@Tommi_Kinnunen @MVirtanen @Muhisazizi Ivermektiini on osa suomalaista patentin saanutta koronalääkettä.</t>
  </si>
  <si>
    <t>@Tommi_Kinnunen @MVirtanen @Muhisazizi Vaikuttavina aineina mm ivermektiini ja hydroklorokiini. https://t.co/ayi5qzDakj</t>
  </si>
  <si>
    <t>Ivermektiini toimii ehdottoman varmasti koronaa vastaan! Vai oletteko nähneet yhtään poroa tai hevosta, jolla olis loishåädön jälkeen korona? https://t.co/NUzAhnj3DA</t>
  </si>
  <si>
    <t>@ArttuHamalainen Ivermektiini taitaa valitettavasti vaan toimia</t>
  </si>
  <si>
    <t>@MVirtanen @Tommi_Kinnunen @Muhisazizi Ivermektiini ei toimi millään tasolla SARS-CoV-2 viruksen hoitoon eikä sitä todellakaan suositella ihmisille. Sen toimivuudesta ei ole ainuttakaan todistetta mutta lääkettä ottaneista ja sen takia sairaalaan joutuneista on vaikka kuinka monta artikkelia luettavana.</t>
  </si>
  <si>
    <t>@LeenaKeinnen1 @TurtiainenAno Kansallinen d-vitamiiniohjelma, ivermektiini heti alkuoireisiin, massiivinen oireettomien testailun ja jäljityksen lopettaminen, se on tässä kaikessa kalleinta. Sieltä vapautuisi resursseja varsinaiseen terveydenhoitoon. Metabolisista ongelmista kärsivät ketodieetille. Jne.</t>
  </si>
  <si>
    <t>@MVirtanen @Tommi_Kinnunen @Muhisazizi BigFarma ei halua sijoittaa orpolääkkeiden tutkimukseen. Halvat vanhat #hcq ja #ivermektiini ovat jääneet vaille kunnon selvityksiä juuri varhaisvaiheen käytössä ennen sairaalakuntoon joutumista. Tilalle tuputtavat kalliita uusia vähintään yhtä heikkotehoisia (#molnupiravir)</t>
  </si>
  <si>
    <t>Ostaisin. Käyttäisin. _xD83D__xDC4D_
"Uudessa lääkkeessä käytettävät vaikuttavat aineet aprotiniini, hydroksiklorokiini ja ivermektiini, ovat tunnettuja ja ne ovat laajalti käytössä." https://t.co/VwNZP8dxmT</t>
  </si>
  <si>
    <t>@Tommi_Kinnunen @Muhisazizi Korrelaatio ei ole tae kausaliteetista, mutta neljässä kuvan maista ivermektiini on hyväksytty covidin ehkäisyyn. Japanissa iv hyväksyttiin elokuun 13 pvä. 12 vrk hyväksynnän jälkeen tartuntojen määrä lähti jyrkkään laskuun. Muissa maissa on ollut vastaavaa. https://t.co/P0Z52M3WS6</t>
  </si>
  <si>
    <t>@teslailija Hevosten matolääke eli ivermektiini, moni uskoo lähes ihmeenomaiseen tehoon, mutta itse en vakuuttunut kun yritin etsiä tietoa. Isoja, vertaisarvioituja ja laadukkaassa lehdessä julkaistuja tutkimuksia sen puolesta kun löytyi huonosti. Voi olla toki että en vaan löytänyt niitä.</t>
  </si>
  <si>
    <t>@Tommi_Kinnunen @Muhisazizi Monet aineet, kuten tutut särkylääkkeet toimivat useammilla kuin yhdellä nisäkkäällä. Ivermektiini on yksi näitä, ja se on hyväksytty ainakin USA:ssa sekä hevosille että ihmisille, viimeksimainituille toki huomattavasti pienempinä annoksina. Ota selvää asioista ennenkuin piippaat</t>
  </si>
  <si>
    <t>@pbockerman @lotta_hallstrom @MKorja @PierreKory Tämä Pfizerin uusi tänään julkaistu pilleri on kuulemma ivermektiini-pohjainen:
https://t.co/fkouE5Q3bH</t>
  </si>
  <si>
    <t>@Tommi_Kinnunen @JouniPeltoniemi @Muhisazizi Ei ei ei! Ivermektiini on erinomainen loislääke! Siksi jokaisen "rokotekriittisen" ja kansallisvastenmielisen tulee voida annostella sitä itselleen niin että terapeuttisen ikkunan raamit kaulassa mennään pihalla paskomaan housuun! (Tunnettu sivuvaikutus." #takki</t>
  </si>
  <si>
    <t>@Kiili @Tommi_Kinnunen @Muhisazizi https://t.co/LiH1USud0D  Ivermektiini on kehitetty loisten aihauttamiin tulehdussairauksien hoitoon. En tiedä, että tepsiikö koronaan, mutta hevoslääkkeestä puhuminen on silkkaa disinformaatiota.</t>
  </si>
  <si>
    <t>Monet ns. salaliittoteoreetikot ovat selvästi perehtyneet aiheisiin huomattavasti paljon paremmin, kuin keskiverto ”Ivermektiini LMAO LOL hevosten matolääke” -huutelijat. Se ei tietenkään tee salaliittoteoreetikoistakaan asiantuntijoita. Mutta näyttää monesti jopa paremmalta. _xD83D__xDC28_</t>
  </si>
  <si>
    <t>@jyrkikononen Vain epärehelliset vellihousut perääntyy "kysyn vain kysymyksiä" -pelleilyn taakse. 
Ivermektiini aiheuttaa sekavuutta ja sen takia ei kannattaisi ajella. Onhan se jopa kiellettykin. Oletko varma, että liikenneympyrä oli liukas, vai oliko se hevostahna mikä sinulle sanoi näin?</t>
  </si>
  <si>
    <t>@sekoomus @jyrkikononen No minun ivermektiini on ihmisille tarkoitettu ja ei ole kolmiota_xD83D__xDC4D__xD83D__xDE09_</t>
  </si>
  <si>
    <t>@Xarzi19 @Tommi_Kinnunen @nakkeman @MVirtanen @Muhisazizi Mun mutuaaleissa on eläinlääkäri joka on jo alusta lähtien nauranu ihmisille, jotka oikeasti kuvittelee, että ivermektiini ois hyvä lääke ihmisille. Kyllä, uskon ennemmin häntä sekä Suomessakin tehtyjä tutkimuksia ettei se ole sovelias. https://t.co/Ihjd5oHhv3</t>
  </si>
  <si>
    <t>@jutasa54 Miten mielestäsi Japanissa ja Intiassa toimitaan?
Vastaus ei sitten ole "ivermektiini", koska kumpikaan maa ei siitä ole apua löytänyt. Japanissa eivät sitä suosittele (rokotevastaisten väärintulkinnoista huolimatta) ja Intiassa heittivät sillä vesilintua, kun ei toiminut.</t>
  </si>
  <si>
    <t>@MikkoKorhonen12 Ei niin, Intiassa kuolemat ja tautitapaukset lähti laskuun kun he aloittivat WHOn ohjeita vastaan ivermektiinilääkityksen https://t.co/6AgzR1m7pE kun ivermektiini lääkitys lopetettiin ja aloitettiin rokotukset lähti tautitapaukset jyrkkään nousuun https://t.co/L07pXoOoOY</t>
  </si>
  <si>
    <t>@lauri_paavola Milloin oikein kuvittelet Intian lopettaneen ivermektiinin käytön ja aloittaneen rokotukset? Menehän tarkistamaan aikajanasi.
Miksi tapaukset romahtivat ympäri Intiaa, vaikka ivermektiiniä käytettiin vain osassa?
Miksi ivermektiini ei estänyt sitä, että 2/3 sai koronan? https://t.co/9IBi9Iq3CK</t>
  </si>
  <si>
    <t>@Tommi_Kinnunen @Muhisazizi Jos pointtia lääketieteen ammattilaisten neuvomatta jättämisestä haluaa jotenkin terästää, "ivermektiini ei toimi koronan hoitamiseen" on ihan hyvä pointti; "heh hevosten matolääke" taas on oikeastaan faktuaalisesti väärin.</t>
  </si>
  <si>
    <t>@Tommi_Kinnunen @Muhisazizi Mut hei, Lasse ja Juhani suosittelee myös D-vitamiinia koronan ehkäisyssä. Miksi asiasta vaietaan? Pääsee todella vähän esille? Liian halpaa? Samoin kuin ivermektiini _xD83E__xDD29_. https://t.co/ww5Trh1Fvp</t>
  </si>
  <si>
    <t>@MarkusSovala @Maaninkavaara Miten joukko-oppi selittää tämän ilmiön? Mun nähdäkseni olisi aika ottaa käyttöön #ivermektiini ja #HydroxyChloroquine rokotukset ei näytä tehoavan.   https://t.co/92aZhIxl2Z</t>
  </si>
  <si>
    <t>@Tommi_Kinnunen @kreetalainen @Muhisazizi Tämä on se pointti tässä. Aivan sama toimiiko ivermektiini vai ei, valtuutettujen tehtävä ei ole antaa hoitosuosituksia.</t>
  </si>
  <si>
    <t>@MVirtanen @Tommi_Kinnunen @Muhisazizi Virtanen, ivermektiini on loislääke eikä mikään järjissään oleva taho esitä sitä covidin hoitoon.</t>
  </si>
  <si>
    <t>@hannu42 Ivermektiini, Molnupiravir, Paxlovid, etc. Näitä on jo useita.</t>
  </si>
  <si>
    <t>"Uudessa lääkkeessä käytettävät vaikuttavat aineet aprotiniini, hydroksiklorokiini ja ivermektiini, ovat tunnettuja ja ne ovat laajalti käytössä." https://t.co/nyHOzjavBM</t>
  </si>
  <si>
    <t>@Tommi_Kinnunen @Muhisazizi Jos tarkoitat #ivermectin, kyseinen "hevoslääke" on ihmisille hyväksytty, loishäätöön tarkoitettu lääke, jonka kehittäjä saanut nobel-palkinnon. Älä jaa valeuutisia. #ivermektiini 
https://t.co/AlIwWtRvNw</t>
  </si>
  <si>
    <t>@Maria33385 ivermektiini ja hydroklorokiinilla myös.. toki se ei maksa juuri mitään mutta ei saatavilla ilman reseptiä täällä.</t>
  </si>
  <si>
    <t>@PMeemit @ihmemimmi @TuomasEnbuske Minä kuuntelen sun perustelut. Ota huomioon seuraavat seikat:
- Pfizer (kyseenalainen maine &amp;amp; lääkkeiden takaisinvedot)
- Rokote lieventää oireita, ei anna suojaa
- Korona ei tapa perusterveitä
- Ivermektiini ja vasta-aineet saattaa parantaa koronasta ja suojata kuukausitolkulla.</t>
  </si>
  <si>
    <t>@pirijanne @JaniMakelaFi Narratiiviin kuuluu myös ivermektiini tehokkaampana ja turvallisempana vaihtoehtona rokotuksille. 
Tutkimustietoa (uskottavaa, viimeisintä) ei yllättäen löydykään sitä tukemaan ja esimerkit tietyistä maista eivät ole olleetkaan ivermektiinin ansiota.</t>
  </si>
  <si>
    <t>@zirkkeli1 @MadetojaStig @JaniMakelaFi Rokotteen 5G-siruissa on tosiaankin ollut mukana myös viallisia, eikä grafeenioksidinkaan toksisuus ole ollut  tasolla, jota NWO edellyttäisi. Lisäksi ivermektiini poistaisi kaikki keskenkasvuiset madot ihmisen elimistöstä.
#koronapässit</t>
  </si>
  <si>
    <t>@79Tuuli @lasleh @hsfi Edelleenkään ei ole todistettu, ettei vaikeamman tautimuodon estäminen olisi ollut terveydenhuoltojärjestelmän kannalta elintärkeää tai että ivermektiini olisi missään uskottavassa tutkimuksessa osoittautunut rokotteita paremmaksi.
Kannusta ihmisiä käyttämään ffp2/3-maskia.</t>
  </si>
  <si>
    <t>@nuuska @Riku_Ranta @minna_talvitie Ainakaan ivermektiini ei ole tutkimuksissa osoittautunut ratkaisuksi. Heikkolaatuisia tutkimuksia on kovasti tuotu esiin, mutta ei ole salaliittoa, joka estäisi sen käytön, jos se olisi tehokkaaksi ja turvalliseksi todettu sillä annostelulla, joka tarvitaan.</t>
  </si>
  <si>
    <t>@THLorg mites ivermektiini, injektiot tuntuvat ruokkivan koronaa, mitä enemmän piikkejä sen enemmän koronaa_xD83D__xDE44_</t>
  </si>
  <si>
    <t>@ER_Korhola Olet ER_Korhola oikeassa myös siksi, että Japanissa on halpa Ivermektiini havaittu kymmeniä kertoja tehokkaammaksi kuin nämä keskeneräisesti (6 kk) testatut mRNA rokotteet. Kantsii verrata päivittäisiä tartuntatilastoja Suomen ja Japanin välillä: https://t.co/f7kq6bwmtp https://t.co/EfJnO0Kyo0</t>
  </si>
  <si>
    <t>@lasleh Mikäli täällä annettaisi suositukset vitamiinien käytölle, otettaisi ivermektiini käyttöön sairastuneiden osalta ja lopetettaisi piikitykset niin meillä ei olisi koko tautia enää. Miksi meillä siis on lääkefirmojen lobbarit tekemässä tulonsiirtoa näille kun parannuskeino löytyy?</t>
  </si>
  <si>
    <t>@AnRajala @siniveikko @SarasvuoJari https://t.co/vvvEe0xJkT Ivermektiini on saanut Nobelin vuonna 2015 ja todettu toimivan hyvin covid 19 vastaan. @AnRajala oisko tähän jotain lisää sinun tietopankista vai oletko jokin trollitili</t>
  </si>
  <si>
    <t>@siniveikko @AnRajala @SarasvuoJari Ivermektiini on liian halpa ja patentti rauennut, joten sitä ei lääketeollisuus suosittele</t>
  </si>
  <si>
    <t>Ivermektiini käyttöön Suomessa! (Rokotukset voidaan lopettaa) https://t.co/c950nH5DhG</t>
  </si>
  <si>
    <t>@leanvaltio Ivermektiini käteen ja kotiin. Parempi kuin burana vaikka parempiakin ilmeisesti on. Esim monoklonaaliset vasta-aineet, NAD yms. Suomessakin labroissa luultavasti voisi valmistaa niitä.</t>
  </si>
  <si>
    <t>@Raitziger Ivermektiini voi selittää afrikan hyvä tilanteen. Siellä syödään sitä ilmeisesti aika rutiinilla muutenkin. Valitettavasti siitä ei saa puhua missään mitään, vaikka pfizerin uusi lääke tulee perustumaan samaan tekniikkaan. Median diskurssi on älytöntä / ohjailtua ylempää.</t>
  </si>
  <si>
    <t>@LeanJuha @Raitziger Redditissä tuollaista. Sitten on John Campbellin esitelmä miten ivermektiini toimii. Sitten on monta tutkimusta ivermektiinin tehokkuudestakin. Sitten on afrikan maiden parempi tilanne käytännössä. 
Mutta et usko, ellet lue YLE:ltä. Niin se on.
https://t.co/x1wrxdx9xo https://t.co/tL2wMSESBq</t>
  </si>
  <si>
    <t>@VainionpaaEero Jos koronahysteerisiä kiinnostaisi rokotekattavuuden nosto, niin he käsittelisivät Fimean haittavaikutusilmoitukset ja tekisivät niistä tilaston. Ivermektiini tulisi kauppoihin ja rokotteen saisi valita itse kaikista eri malleista. Koronapassi lopetettaisiin.</t>
  </si>
  <si>
    <t>@leanvaltio @satuhassi @JarnoVirtanen2 @Anni_Lahti_ Koronapassi poistuu kun ihmiset rokottautuu. 
Yhtiöiden ei tarvitse julkaista liikesalaisuuksia.
Rokotetuotteen (lääkkeen) valintaan ei maallikolla riitä taito.
Ivermektiini ei covidiin toimi, se on matolääke.
Rokottamattomat eivät ole kansanryhmä.
Lisää? _xD83E__xDD14_</t>
  </si>
  <si>
    <t>@satuhassi @sujofin @JarnoVirtanen2 @Anni_Lahti_ Rokotekattavuus ja luottamus nousee heti kun:
-koronapassi ja kiristystoimet poistetaan
-Pfizerin tutkimukset julkaistaan
-rokotetuotteen saa valita itse
-ivermektiini ja muut hoidot sallitaan
-kiihotus rokottamattomia vastaan käsitellään oikeudessa kuten muutkin väestöryhmät</t>
  </si>
  <si>
    <t>@koronakuiskaaja @paulie880 @mika_salminen @HNohynek Ivermektiini. Ja sitä ennen on päättäjät kuunnelleet  alan asiantuntijoita, eikä mitään Nuhanekku /Salkku-Mika rokotemyyriä.</t>
  </si>
  <si>
    <t>@MikaelJungner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</si>
  <si>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@hannu42 Kaikki rokotukset seis. Turvavälit käyttöön ja D3-vitamiinikuuri joka iikalle. Tartuntatapauksissa hoitona ivermektiini kuten Japanissa - ja korona poissa.
Sitten jatkossa syytteiden nostaminen rokotuksista vastuullisille...</t>
  </si>
  <si>
    <t>@hannu42 Rokotukset seis välittömästi. Turvavälit, D3- ja C-vitamiinia joka iikalle. Ja tautiin tehoaa ivermektiini jos ei mene itekseen ohi. Tässä lisää rokotteen haitallisuudesta : https://t.co/0nsBfMX2bi</t>
  </si>
  <si>
    <t>@leanvaltio @lauri_linden Ivermektiini ei ole hoitokeino koronaan, joten siinä varmaan se syy miksi sitä ei saa helposti. Ei sulle varmaan annettaisi lääkekannabistakaan nielutulehdukseenkaan vaikka kuinka vaatisit. Ja hyvä niin.</t>
  </si>
  <si>
    <t>@JukkaPetteriLa1 @MikaelJungner "experimental basis"
Eli kokeellinen ivermektiini on ok, mutta kokeellinen rokote ei?</t>
  </si>
  <si>
    <t>@TomiAalto3 Ivermektiini on kuulemma paras lääke tähän. Se on halpa, tehokas ja Nobelin palkinnonkin saanut. Mutta siitä ei saa puhua.</t>
  </si>
  <si>
    <t>@JaniMakelaFi "Rokote" on kehitetty kaksi vuotta sitten synnytettyyn olemattomaan pLandemiaan, sen jälkeen on tullut uusia variantteja eli "virus" on muuntautunut. Vanha "rokote" ei siis enää toimi koska virus on mutatoitunut? Miksi ivermektiini olikaan huono pelastaja? https://t.co/eXktQ90bhP</t>
  </si>
  <si>
    <t>@STM_Uutiset @WHO ivermektiini_xD83D__xDC4D__xD83D__xDC4D_</t>
  </si>
  <si>
    <t>@THLorg @SalinEero mites ivermektiini_xD83D__xDC4D_</t>
  </si>
  <si>
    <t>@lasleh @hsfi ivermektiini_xD83D__xDC4D_</t>
  </si>
  <si>
    <t>@lasleh ivermektiini_xD83D__xDC4D_</t>
  </si>
  <si>
    <t>@leanvaltio @MikaelJungner Kyllä, Ivermektiini erinoimainen lääke! _xD83D__xDCAA__xD83C__xDFFC_ (Syyhyyn)</t>
  </si>
  <si>
    <t>@MattiMuukkonen Olispa ivermektiini laillista, ja kaikilla FFP3 maski päässä julkisissa tiloissa.</t>
  </si>
  <si>
    <t>@Anttigee @ivanpuopolo Aloitetaan vapauttamalla ivermektiini ruokakauppoihin.</t>
  </si>
  <si>
    <t>@uusisuomi Ivermektiini toimii kaikkiin variaintteihin!</t>
  </si>
  <si>
    <t>@JuhaniKnuuti @Tommi_Kinnunen @soalmila @MVirtanen @Muhisazizi Onhan tuo ivermektiini vahingossa lipsahtanut listoille yhdysvalloissa. Onko sitten jo "virallisesti" hyväksytty vai vasta kokeellinen (ai että, tämän vuoden trendisana).
https://t.co/HQ2F069GSK</t>
  </si>
  <si>
    <t>On se mukavaa, kun joku toistelee samaa.
Osa 1. Ivermektiini koronalääkehoitolistalla. https://t.co/37KwPPNbhk</t>
  </si>
  <si>
    <t>@timo_lappi @MTVSuomi Miksi kaikkia pitäisi kannustaa ottamaan kokeelliset ja vaaralliset ”rokotteet”?
Koronarokotusten myötä kokonaiskuolleisuus on kääntynyt nousuun kesästä alkaen ja ylikuolleisuus on jo melkein 2000 henkeä.
Nyt pitäisi keskeyttää rokotukset. Ivermektiini ja muut lääkkeet tilalle. https://t.co/9E2bhKEGIq</t>
  </si>
  <si>
    <t>@xxxeerh @a28748626 @minnaeck Suomessa reseptillä myytävä ivermektiini on huomattavasti kalliimpaa kuin maailmalla. Onko näin muidenkin lääkkeiden osalta? Paljonko Suomen lääkemenoissa vedetään välistä? Lopulta se on kuitenkin pois kaikesta muusta taloudesta.</t>
  </si>
  <si>
    <t>@PerttiPiirto Jenkeissä asia päinvastoin.. Jos esim ivermektiini todettais toimivaksi, se katkaisisi piikkihommat täysin, koska heidän laissaan piikki on se viimonen vaihtoehto... Siksi sitä sensuroidaan ja mustamaalataan jne...</t>
  </si>
  <si>
    <t>@panu_saarela @turnukkaparta @AilaVilen @KaariRossi @iltasanomat Veikkaan, että paaaljon parempi. Viimevuonna ei ollut piikkiä eikä ylikuolleisuutta. Nyt on piikki sekä ylikuolleisuus. Kuten monessa muussakin maassa.
Ilman piikkiä meillä olisi ivermektiini ja monta kuolemaa vältetty puhumattakaan haittavaikutuksista…</t>
  </si>
  <si>
    <t>@PuolimatkaTapio Koronapassin ja tartuntojen lisääntymiset korreloivat, ja syykin on selvä: passilla pääsevät jopa sairaat vapaasti luuhaamaan missä vain. Ainoa poikkeus on Japani, mutta siellähän ei luuhata passillakaan vapaasti ja lisäksi siellä on kunnon lääkkeet kotonaan eli ivermektiini.</t>
  </si>
  <si>
    <t>https://secure.jbs.elsevierhealth.com/action/getSharedSiteSession?redirect=https%3A%2F%2Fwww.thelancet.com%2Fjournals%2Flanepe%2Farticle%2FPIIS2666-7762%2821%2900258-1%2Ffulltext%3Fs%3D08%26fbclid%3DIwAR26JHRPQC0fWgEDr3tbyVwMvJhtMzhPXFcFlACyBwRgIHHZK9EozoZu6vA&amp;rc=0</t>
  </si>
  <si>
    <t>https://koronarealistit.com/mikko-paunio-sulkutoimet-pois-ivermektiini-ja-d-vitamiini-kayttoon-big-pharman-hyysays-saa-loppua/ https://tfiglobalnews.com/2021/11/08/japan-crushes-big-pharma-with-a-small-yet-effective-move/ https://rclutz.com/2021/09/05/japanese-medical-chairmen-doubles-down-on-ivm/</t>
  </si>
  <si>
    <t>https://eu.usatoday.com/story/news/factcheck/2021/05/21/fact-check-india-covid-19-cases-hydroxychloroquine-not-related/5173021001/ https://eu.usatoday.com/story/news/factcheck/2021/05/11/fact-check-indias-covid-19-surge-not-connected-vaccinations/4988690001/</t>
  </si>
  <si>
    <t>tfiglobalnews.com</t>
  </si>
  <si>
    <t>msn.com</t>
  </si>
  <si>
    <t>mediuutiset.fi</t>
  </si>
  <si>
    <t>iltalehti.fi</t>
  </si>
  <si>
    <t>twitter.com</t>
  </si>
  <si>
    <t>c19early.com</t>
  </si>
  <si>
    <t>koronarealistit.com tfiglobalnews.com rclutz.com</t>
  </si>
  <si>
    <t>merck.com</t>
  </si>
  <si>
    <t>yle.fi</t>
  </si>
  <si>
    <t>ivmmeta.com</t>
  </si>
  <si>
    <t>bmj.com</t>
  </si>
  <si>
    <t>wikipedia.org</t>
  </si>
  <si>
    <t>xkcd.com</t>
  </si>
  <si>
    <t>cnbc.com</t>
  </si>
  <si>
    <t>nobelprize.org</t>
  </si>
  <si>
    <t>usatoday.com usatoday.com</t>
  </si>
  <si>
    <t>elsevierhealth.com</t>
  </si>
  <si>
    <t>duodecimlehti.fi</t>
  </si>
  <si>
    <t>worldometers.info</t>
  </si>
  <si>
    <t>nih.gov</t>
  </si>
  <si>
    <t>reddit.com</t>
  </si>
  <si>
    <t>thegatewaypundit.com</t>
  </si>
  <si>
    <t>suomessa koronakriisi ivermektiini rokonarokote</t>
  </si>
  <si>
    <t>ivermektiini</t>
  </si>
  <si>
    <t>hcq ivermektiini molnupiravir</t>
  </si>
  <si>
    <t>takki</t>
  </si>
  <si>
    <t>ivermektiini hydroxychloroquine</t>
  </si>
  <si>
    <t>ivermectin ivermektiini</t>
  </si>
  <si>
    <t>koronapässit</t>
  </si>
  <si>
    <t>16:51:35</t>
  </si>
  <si>
    <t>12:06:53</t>
  </si>
  <si>
    <t>18:52:49</t>
  </si>
  <si>
    <t>20:37:45</t>
  </si>
  <si>
    <t>20:45:50</t>
  </si>
  <si>
    <t>20:47:02</t>
  </si>
  <si>
    <t>22:13:43</t>
  </si>
  <si>
    <t>22:52:07</t>
  </si>
  <si>
    <t>02:09:02</t>
  </si>
  <si>
    <t>09:52:04</t>
  </si>
  <si>
    <t>12:11:11</t>
  </si>
  <si>
    <t>14:23:36</t>
  </si>
  <si>
    <t>14:24:59</t>
  </si>
  <si>
    <t>20:07:50</t>
  </si>
  <si>
    <t>20:22:33</t>
  </si>
  <si>
    <t>23:21:47</t>
  </si>
  <si>
    <t>23:27:33</t>
  </si>
  <si>
    <t>23:27:38</t>
  </si>
  <si>
    <t>01:41:12</t>
  </si>
  <si>
    <t>04:13:07</t>
  </si>
  <si>
    <t>09:58:14</t>
  </si>
  <si>
    <t>20:36:36</t>
  </si>
  <si>
    <t>11:05:52</t>
  </si>
  <si>
    <t>12:42:16</t>
  </si>
  <si>
    <t>19:32:55</t>
  </si>
  <si>
    <t>11:41:52</t>
  </si>
  <si>
    <t>13:47:54</t>
  </si>
  <si>
    <t>12:44:31</t>
  </si>
  <si>
    <t>16:19:31</t>
  </si>
  <si>
    <t>17:34:07</t>
  </si>
  <si>
    <t>17:53:07</t>
  </si>
  <si>
    <t>18:52:37</t>
  </si>
  <si>
    <t>22:00:45</t>
  </si>
  <si>
    <t>05:45:03</t>
  </si>
  <si>
    <t>10:26:02</t>
  </si>
  <si>
    <t>12:19:22</t>
  </si>
  <si>
    <t>13:42:02</t>
  </si>
  <si>
    <t>14:07:44</t>
  </si>
  <si>
    <t>18:10:49</t>
  </si>
  <si>
    <t>21:44:49</t>
  </si>
  <si>
    <t>17:29:39</t>
  </si>
  <si>
    <t>21:49:17</t>
  </si>
  <si>
    <t>22:02:45</t>
  </si>
  <si>
    <t>09:02:39</t>
  </si>
  <si>
    <t>13:18:15</t>
  </si>
  <si>
    <t>13:25:55</t>
  </si>
  <si>
    <t>19:33:57</t>
  </si>
  <si>
    <t>14:48:44</t>
  </si>
  <si>
    <t>19:17:18</t>
  </si>
  <si>
    <t>17:43:28</t>
  </si>
  <si>
    <t>01:08:28</t>
  </si>
  <si>
    <t>20:01:51</t>
  </si>
  <si>
    <t>17:30:23</t>
  </si>
  <si>
    <t>04:24:58</t>
  </si>
  <si>
    <t>11:46:00</t>
  </si>
  <si>
    <t>12:31:01</t>
  </si>
  <si>
    <t>13:09:30</t>
  </si>
  <si>
    <t>14:08:42</t>
  </si>
  <si>
    <t>16:48:09</t>
  </si>
  <si>
    <t>15:43:29</t>
  </si>
  <si>
    <t>17:07:47</t>
  </si>
  <si>
    <t>17:38:21</t>
  </si>
  <si>
    <t>15:54:22</t>
  </si>
  <si>
    <t>10:37:17</t>
  </si>
  <si>
    <t>10:37:25</t>
  </si>
  <si>
    <t>10:49:27</t>
  </si>
  <si>
    <t>18:02:04</t>
  </si>
  <si>
    <t>18:02:41</t>
  </si>
  <si>
    <t>18:31:29</t>
  </si>
  <si>
    <t>18:32:26</t>
  </si>
  <si>
    <t>18:53:14</t>
  </si>
  <si>
    <t>19:54:23</t>
  </si>
  <si>
    <t>20:12:34</t>
  </si>
  <si>
    <t>06:51:52</t>
  </si>
  <si>
    <t>01:00:38</t>
  </si>
  <si>
    <t>20:50:49</t>
  </si>
  <si>
    <t>21:21:19</t>
  </si>
  <si>
    <t>22:25:02</t>
  </si>
  <si>
    <t>22:25:15</t>
  </si>
  <si>
    <t>22:45:17</t>
  </si>
  <si>
    <t>09:41:06</t>
  </si>
  <si>
    <t>15:59:28</t>
  </si>
  <si>
    <t>00:45:12</t>
  </si>
  <si>
    <t>00:45:27</t>
  </si>
  <si>
    <t>08:29:45</t>
  </si>
  <si>
    <t>01:16:03</t>
  </si>
  <si>
    <t>01:17:57</t>
  </si>
  <si>
    <t>01:19:29</t>
  </si>
  <si>
    <t>01:21:17</t>
  </si>
  <si>
    <t>01:25:05</t>
  </si>
  <si>
    <t>20:25:40</t>
  </si>
  <si>
    <t>00:46:55</t>
  </si>
  <si>
    <t>01:09:44</t>
  </si>
  <si>
    <t>02:27:08</t>
  </si>
  <si>
    <t>04:16:21</t>
  </si>
  <si>
    <t>04:16:38</t>
  </si>
  <si>
    <t>04:39:20</t>
  </si>
  <si>
    <t>04:54:20</t>
  </si>
  <si>
    <t>13:43:52</t>
  </si>
  <si>
    <t>15:55:28</t>
  </si>
  <si>
    <t>05:16:43</t>
  </si>
  <si>
    <t>11:07:15</t>
  </si>
  <si>
    <t>11:41:55</t>
  </si>
  <si>
    <t>14:46:57</t>
  </si>
  <si>
    <t>05:25:08</t>
  </si>
  <si>
    <t>11:27:02</t>
  </si>
  <si>
    <t>11:31:34</t>
  </si>
  <si>
    <t>04:33:14</t>
  </si>
  <si>
    <t>05:30:19</t>
  </si>
  <si>
    <t>09:26:40</t>
  </si>
  <si>
    <t>06:10:48</t>
  </si>
  <si>
    <t>06:13:57</t>
  </si>
  <si>
    <t>06:33:08</t>
  </si>
  <si>
    <t>08:02:12</t>
  </si>
  <si>
    <t>04:32:16</t>
  </si>
  <si>
    <t>05:12:26</t>
  </si>
  <si>
    <t>07:03:14</t>
  </si>
  <si>
    <t>07:16:32</t>
  </si>
  <si>
    <t>07:26:13</t>
  </si>
  <si>
    <t>07:26:22</t>
  </si>
  <si>
    <t>07:57:59</t>
  </si>
  <si>
    <t>04:07:17</t>
  </si>
  <si>
    <t>04:29:21</t>
  </si>
  <si>
    <t>13:44:12</t>
  </si>
  <si>
    <t>08:01:10</t>
  </si>
  <si>
    <t>08:04:25</t>
  </si>
  <si>
    <t>08:07:40</t>
  </si>
  <si>
    <t>08:12:04</t>
  </si>
  <si>
    <t>08:27:47</t>
  </si>
  <si>
    <t>08:42:53</t>
  </si>
  <si>
    <t>09:16:01</t>
  </si>
  <si>
    <t>09:28:55</t>
  </si>
  <si>
    <t>09:46:39</t>
  </si>
  <si>
    <t>09:56:19</t>
  </si>
  <si>
    <t>10:06:05</t>
  </si>
  <si>
    <t>10:15:33</t>
  </si>
  <si>
    <t>10:58:40</t>
  </si>
  <si>
    <t>11:38:46</t>
  </si>
  <si>
    <t>11:45:28</t>
  </si>
  <si>
    <t>11:49:12</t>
  </si>
  <si>
    <t>11:51:46</t>
  </si>
  <si>
    <t>11:54:29</t>
  </si>
  <si>
    <t>08:35:53</t>
  </si>
  <si>
    <t>13:12:36</t>
  </si>
  <si>
    <t>13:18:33</t>
  </si>
  <si>
    <t>14:06:32</t>
  </si>
  <si>
    <t>06:41:59</t>
  </si>
  <si>
    <t>15:04:42</t>
  </si>
  <si>
    <t>16:08:00</t>
  </si>
  <si>
    <t>16:11:48</t>
  </si>
  <si>
    <t>14:21:40</t>
  </si>
  <si>
    <t>17:00:15</t>
  </si>
  <si>
    <t>16:31:55</t>
  </si>
  <si>
    <t>16:38:27</t>
  </si>
  <si>
    <t>17:43:36</t>
  </si>
  <si>
    <t>18:22:47</t>
  </si>
  <si>
    <t>18:00:08</t>
  </si>
  <si>
    <t>18:07:54</t>
  </si>
  <si>
    <t>18:24:36</t>
  </si>
  <si>
    <t>19:31:48</t>
  </si>
  <si>
    <t>19:50:51</t>
  </si>
  <si>
    <t>12:02:33</t>
  </si>
  <si>
    <t>20:30:50</t>
  </si>
  <si>
    <t>04:55:40</t>
  </si>
  <si>
    <t>04:29:31</t>
  </si>
  <si>
    <t>04:46:06</t>
  </si>
  <si>
    <t>04:37:01</t>
  </si>
  <si>
    <t>04:37:23</t>
  </si>
  <si>
    <t>04:38:10</t>
  </si>
  <si>
    <t>04:31:40</t>
  </si>
  <si>
    <t>06:59:03</t>
  </si>
  <si>
    <t>08:45:26</t>
  </si>
  <si>
    <t>10:16:49</t>
  </si>
  <si>
    <t>14:55:11</t>
  </si>
  <si>
    <t>11:45:27</t>
  </si>
  <si>
    <t>10:42:28</t>
  </si>
  <si>
    <t>13:40:57</t>
  </si>
  <si>
    <t>11:03:03</t>
  </si>
  <si>
    <t>11:28:40</t>
  </si>
  <si>
    <t>12:28:04</t>
  </si>
  <si>
    <t>14:27:39</t>
  </si>
  <si>
    <t>14:17:36</t>
  </si>
  <si>
    <t>14:28:10</t>
  </si>
  <si>
    <t>10:14:47</t>
  </si>
  <si>
    <t>19:25:22</t>
  </si>
  <si>
    <t>22:10:04</t>
  </si>
  <si>
    <t>19:36:30</t>
  </si>
  <si>
    <t>20:59:30</t>
  </si>
  <si>
    <t>21:01:58</t>
  </si>
  <si>
    <t>05:44:30</t>
  </si>
  <si>
    <t>23:18:57</t>
  </si>
  <si>
    <t>23:42:50</t>
  </si>
  <si>
    <t>19:13:43</t>
  </si>
  <si>
    <t>21:12:49</t>
  </si>
  <si>
    <t>22:15:58</t>
  </si>
  <si>
    <t>22:18:17</t>
  </si>
  <si>
    <t>08:58:31</t>
  </si>
  <si>
    <t>22:18:28</t>
  </si>
  <si>
    <t>21:30:32</t>
  </si>
  <si>
    <t>04:09:10</t>
  </si>
  <si>
    <t>05:05:04</t>
  </si>
  <si>
    <t>21:18:02</t>
  </si>
  <si>
    <t>05:09:11</t>
  </si>
  <si>
    <t>06:00:17</t>
  </si>
  <si>
    <t>06:26:59</t>
  </si>
  <si>
    <t>10:49:37</t>
  </si>
  <si>
    <t>07:40:24</t>
  </si>
  <si>
    <t>10:06:54</t>
  </si>
  <si>
    <t>17:05:23</t>
  </si>
  <si>
    <t>17:05:31</t>
  </si>
  <si>
    <t>07:46:26</t>
  </si>
  <si>
    <t>09:52:31</t>
  </si>
  <si>
    <t>10:27:59</t>
  </si>
  <si>
    <t>10:33:23</t>
  </si>
  <si>
    <t>11:01:50</t>
  </si>
  <si>
    <t>11:21:06</t>
  </si>
  <si>
    <t>13:31:05</t>
  </si>
  <si>
    <t>12:24:43</t>
  </si>
  <si>
    <t>08:19:44</t>
  </si>
  <si>
    <t>08:25:13</t>
  </si>
  <si>
    <t>08:16:45</t>
  </si>
  <si>
    <t>08:25:08</t>
  </si>
  <si>
    <t>11:18:20</t>
  </si>
  <si>
    <t>08:39:47</t>
  </si>
  <si>
    <t>09:54:10</t>
  </si>
  <si>
    <t>15:13:45</t>
  </si>
  <si>
    <t>15:26:44</t>
  </si>
  <si>
    <t>18:10:41</t>
  </si>
  <si>
    <t>18:11:44</t>
  </si>
  <si>
    <t>18:12:13</t>
  </si>
  <si>
    <t>08:57:04</t>
  </si>
  <si>
    <t>09:05:24</t>
  </si>
  <si>
    <t>12:49:27</t>
  </si>
  <si>
    <t>20:32:09</t>
  </si>
  <si>
    <t>15:48:01</t>
  </si>
  <si>
    <t>07:26:49</t>
  </si>
  <si>
    <t>16:14:21</t>
  </si>
  <si>
    <t>17:23:20</t>
  </si>
  <si>
    <t>17:21:50</t>
  </si>
  <si>
    <t>07:25:49</t>
  </si>
  <si>
    <t>12:02:38</t>
  </si>
  <si>
    <t>21:12:44</t>
  </si>
  <si>
    <t>13:27:46</t>
  </si>
  <si>
    <t>07:02:15</t>
  </si>
  <si>
    <t>21:35:14</t>
  </si>
  <si>
    <t>08:07:03</t>
  </si>
  <si>
    <t>09:48:44</t>
  </si>
  <si>
    <t>11:27:55</t>
  </si>
  <si>
    <t>18:59:45</t>
  </si>
  <si>
    <t>23:38:14</t>
  </si>
  <si>
    <t>01:11:25</t>
  </si>
  <si>
    <t>08:09:14</t>
  </si>
  <si>
    <t>1463913264979582978</t>
  </si>
  <si>
    <t>1463479230591819779</t>
  </si>
  <si>
    <t>1463943773822533633</t>
  </si>
  <si>
    <t>1463970180858535943</t>
  </si>
  <si>
    <t>1463972217050570766</t>
  </si>
  <si>
    <t>1463972519757684741</t>
  </si>
  <si>
    <t>1463994334613852160</t>
  </si>
  <si>
    <t>1464003998827139084</t>
  </si>
  <si>
    <t>1464053555078307849</t>
  </si>
  <si>
    <t>1464170079067811841</t>
  </si>
  <si>
    <t>1464205088965246979</t>
  </si>
  <si>
    <t>1464238410835668994</t>
  </si>
  <si>
    <t>1464238760082747395</t>
  </si>
  <si>
    <t>1464325039910793218</t>
  </si>
  <si>
    <t>1464328745146331140</t>
  </si>
  <si>
    <t>1464373852218220551</t>
  </si>
  <si>
    <t>1464375304374435846</t>
  </si>
  <si>
    <t>1464375324389650438</t>
  </si>
  <si>
    <t>1464408936971485186</t>
  </si>
  <si>
    <t>1464447167700115459</t>
  </si>
  <si>
    <t>1464534019887050759</t>
  </si>
  <si>
    <t>1464332281959620608</t>
  </si>
  <si>
    <t>1464551039550558211</t>
  </si>
  <si>
    <t>1464575300361142289</t>
  </si>
  <si>
    <t>1464316254005731345</t>
  </si>
  <si>
    <t>1464560099616296964</t>
  </si>
  <si>
    <t>1464591817224118273</t>
  </si>
  <si>
    <t>1464575866873303041</t>
  </si>
  <si>
    <t>1464629974049120257</t>
  </si>
  <si>
    <t>1464648746524975105</t>
  </si>
  <si>
    <t>1464653525468827650</t>
  </si>
  <si>
    <t>1464668500815925256</t>
  </si>
  <si>
    <t>1464715844886446080</t>
  </si>
  <si>
    <t>1464832692017676291</t>
  </si>
  <si>
    <t>1464903403935604738</t>
  </si>
  <si>
    <t>1464931925110534145</t>
  </si>
  <si>
    <t>1464952727738400768</t>
  </si>
  <si>
    <t>1464959196382781444</t>
  </si>
  <si>
    <t>1465020369333587974</t>
  </si>
  <si>
    <t>1465074224687566855</t>
  </si>
  <si>
    <t>1465010010568675333</t>
  </si>
  <si>
    <t>1465075348152926210</t>
  </si>
  <si>
    <t>1465078737410605063</t>
  </si>
  <si>
    <t>1465244806033125377</t>
  </si>
  <si>
    <t>1465309130193879053</t>
  </si>
  <si>
    <t>1465311060743929859</t>
  </si>
  <si>
    <t>1463954125218013187</t>
  </si>
  <si>
    <t>1464607126526078977</t>
  </si>
  <si>
    <t>1465399486461755398</t>
  </si>
  <si>
    <t>1465375874480586761</t>
  </si>
  <si>
    <t>1465487863961821189</t>
  </si>
  <si>
    <t>1463961148299042823</t>
  </si>
  <si>
    <t>1465010195524894733</t>
  </si>
  <si>
    <t>1465537311521845249</t>
  </si>
  <si>
    <t>1465648302536409088</t>
  </si>
  <si>
    <t>1465659632647553035</t>
  </si>
  <si>
    <t>1464219766583963651</t>
  </si>
  <si>
    <t>1465684214544846857</t>
  </si>
  <si>
    <t>1464637176176513029</t>
  </si>
  <si>
    <t>1465708068902039552</t>
  </si>
  <si>
    <t>1465729284300054541</t>
  </si>
  <si>
    <t>1465736973306548229</t>
  </si>
  <si>
    <t>1463898866739290115</t>
  </si>
  <si>
    <t>1464181457858007041</t>
  </si>
  <si>
    <t>1464181490082795521</t>
  </si>
  <si>
    <t>1464184522107457536</t>
  </si>
  <si>
    <t>1465742941377515535</t>
  </si>
  <si>
    <t>1465743096935821320</t>
  </si>
  <si>
    <t>1465750347595624457</t>
  </si>
  <si>
    <t>1465750583630045185</t>
  </si>
  <si>
    <t>1465755819379724293</t>
  </si>
  <si>
    <t>1465771210105626624</t>
  </si>
  <si>
    <t>1465775784992378882</t>
  </si>
  <si>
    <t>1464124730210934791</t>
  </si>
  <si>
    <t>1465123502344839175</t>
  </si>
  <si>
    <t>1465785411717013509</t>
  </si>
  <si>
    <t>1465793086051737612</t>
  </si>
  <si>
    <t>1465809122654306304</t>
  </si>
  <si>
    <t>1465809176890851348</t>
  </si>
  <si>
    <t>1465814216368173058</t>
  </si>
  <si>
    <t>1462717767984062467</t>
  </si>
  <si>
    <t>1465712089524170755</t>
  </si>
  <si>
    <t>1465844396386131971</t>
  </si>
  <si>
    <t>1465844458491195397</t>
  </si>
  <si>
    <t>1464149364293742596</t>
  </si>
  <si>
    <t>1465852156884496388</t>
  </si>
  <si>
    <t>1465852637253881867</t>
  </si>
  <si>
    <t>1465853021171113991</t>
  </si>
  <si>
    <t>1465853476190183426</t>
  </si>
  <si>
    <t>1465854433233977344</t>
  </si>
  <si>
    <t>1465054306583957509</t>
  </si>
  <si>
    <t>1465844828269387777</t>
  </si>
  <si>
    <t>1465850568442880008</t>
  </si>
  <si>
    <t>1465870045498822664</t>
  </si>
  <si>
    <t>1465897533574717448</t>
  </si>
  <si>
    <t>1465897602554150914</t>
  </si>
  <si>
    <t>1465903315129180164</t>
  </si>
  <si>
    <t>1465907089688125445</t>
  </si>
  <si>
    <t>1463866026907652103</t>
  </si>
  <si>
    <t>1463899143118761986</t>
  </si>
  <si>
    <t>1465912723418628108</t>
  </si>
  <si>
    <t>1465638553250062348</t>
  </si>
  <si>
    <t>1465647273359065091</t>
  </si>
  <si>
    <t>1465693841990713348</t>
  </si>
  <si>
    <t>1465914844218019842</t>
  </si>
  <si>
    <t>1465643529154277378</t>
  </si>
  <si>
    <t>1465644672471212034</t>
  </si>
  <si>
    <t>1465901780244570115</t>
  </si>
  <si>
    <t>1465916147912609792</t>
  </si>
  <si>
    <t>1464526073765543938</t>
  </si>
  <si>
    <t>1465926333318549505</t>
  </si>
  <si>
    <t>1465927126004158468</t>
  </si>
  <si>
    <t>1465931954637914113</t>
  </si>
  <si>
    <t>1465229595775574018</t>
  </si>
  <si>
    <t>1465901536391962626</t>
  </si>
  <si>
    <t>1465911646023528450</t>
  </si>
  <si>
    <t>1465939530301816835</t>
  </si>
  <si>
    <t>1465942875649323008</t>
  </si>
  <si>
    <t>1465945312560885761</t>
  </si>
  <si>
    <t>1465945350645112833</t>
  </si>
  <si>
    <t>1465953308603031554</t>
  </si>
  <si>
    <t>1465895250204008453</t>
  </si>
  <si>
    <t>1465900802619412487</t>
  </si>
  <si>
    <t>1462416557510909956</t>
  </si>
  <si>
    <t>1465954110411313156</t>
  </si>
  <si>
    <t>1465954927419826179</t>
  </si>
  <si>
    <t>1465955746051407881</t>
  </si>
  <si>
    <t>1465956853318365188</t>
  </si>
  <si>
    <t>1465960809910128642</t>
  </si>
  <si>
    <t>1465964609173696519</t>
  </si>
  <si>
    <t>1465972947986923523</t>
  </si>
  <si>
    <t>1465976191756738563</t>
  </si>
  <si>
    <t>1465980655897034755</t>
  </si>
  <si>
    <t>1465983088379445248</t>
  </si>
  <si>
    <t>1465985547118288898</t>
  </si>
  <si>
    <t>1465987927796764673</t>
  </si>
  <si>
    <t>1465998777723064320</t>
  </si>
  <si>
    <t>1466008872162934790</t>
  </si>
  <si>
    <t>1466010558214332423</t>
  </si>
  <si>
    <t>1466011496526323714</t>
  </si>
  <si>
    <t>1466012143543795718</t>
  </si>
  <si>
    <t>1466012826208813057</t>
  </si>
  <si>
    <t>1465962846676733954</t>
  </si>
  <si>
    <t>1466032484903178242</t>
  </si>
  <si>
    <t>1466033982492090374</t>
  </si>
  <si>
    <t>1466046058350489606</t>
  </si>
  <si>
    <t>1465934184183119874</t>
  </si>
  <si>
    <t>1466060694189752327</t>
  </si>
  <si>
    <t>1466076626177904641</t>
  </si>
  <si>
    <t>1466077581069983752</t>
  </si>
  <si>
    <t>1464237926020227076</t>
  </si>
  <si>
    <t>1465002611350904834</t>
  </si>
  <si>
    <t>1466082642605092876</t>
  </si>
  <si>
    <t>1466084287011336205</t>
  </si>
  <si>
    <t>1466100681719304194</t>
  </si>
  <si>
    <t>1465748158043115524</t>
  </si>
  <si>
    <t>1466104843337179141</t>
  </si>
  <si>
    <t>1466106797551403009</t>
  </si>
  <si>
    <t>1466111002685104131</t>
  </si>
  <si>
    <t>1466127911463890944</t>
  </si>
  <si>
    <t>1466132708913029127</t>
  </si>
  <si>
    <t>1464927692583837696</t>
  </si>
  <si>
    <t>1465780383451078670</t>
  </si>
  <si>
    <t>1465907426188800003</t>
  </si>
  <si>
    <t>1465900844369559552</t>
  </si>
  <si>
    <t>1465905021191700482</t>
  </si>
  <si>
    <t>1465902735346352129</t>
  </si>
  <si>
    <t>1465902827092512768</t>
  </si>
  <si>
    <t>1465903022031224833</t>
  </si>
  <si>
    <t>1465901385292128257</t>
  </si>
  <si>
    <t>1466300866609172483</t>
  </si>
  <si>
    <t>1466327638486794246</t>
  </si>
  <si>
    <t>1466350634710585346</t>
  </si>
  <si>
    <t>1463883974435086336</t>
  </si>
  <si>
    <t>1464198613307994115</t>
  </si>
  <si>
    <t>1464182764740263951</t>
  </si>
  <si>
    <t>1465677229581602826</t>
  </si>
  <si>
    <t>1466362267964956675</t>
  </si>
  <si>
    <t>1466368716426420226</t>
  </si>
  <si>
    <t>1466383664443502593</t>
  </si>
  <si>
    <t>1466413760655110145</t>
  </si>
  <si>
    <t>1466411228499263488</t>
  </si>
  <si>
    <t>1466413887193030666</t>
  </si>
  <si>
    <t>1465987733793480709</t>
  </si>
  <si>
    <t>1466488682299416583</t>
  </si>
  <si>
    <t>1465805355401764878</t>
  </si>
  <si>
    <t>1466491485709340677</t>
  </si>
  <si>
    <t>1463975657877254149</t>
  </si>
  <si>
    <t>1463976278449700867</t>
  </si>
  <si>
    <t>1464107776381263872</t>
  </si>
  <si>
    <t>1464373138238709763</t>
  </si>
  <si>
    <t>1466191087014498304</t>
  </si>
  <si>
    <t>1466123363412283392</t>
  </si>
  <si>
    <t>1466515724336349195</t>
  </si>
  <si>
    <t>1465806839216578566</t>
  </si>
  <si>
    <t>1465807422900031493</t>
  </si>
  <si>
    <t>1464156602957807616</t>
  </si>
  <si>
    <t>1465807469591109641</t>
  </si>
  <si>
    <t>1466520181044359173</t>
  </si>
  <si>
    <t>1466620501976137728</t>
  </si>
  <si>
    <t>1466634568140734465</t>
  </si>
  <si>
    <t>1465792261791399946</t>
  </si>
  <si>
    <t>1465910827685490691</t>
  </si>
  <si>
    <t>1466648462372524036</t>
  </si>
  <si>
    <t>1466655184982097920</t>
  </si>
  <si>
    <t>1465634112178475012</t>
  </si>
  <si>
    <t>1466673661222469636</t>
  </si>
  <si>
    <t>1466710527632101376</t>
  </si>
  <si>
    <t>1465728678848040963</t>
  </si>
  <si>
    <t>1465728712364679169</t>
  </si>
  <si>
    <t>1465950401748996100</t>
  </si>
  <si>
    <t>1465982131620954115</t>
  </si>
  <si>
    <t>1466715834479521793</t>
  </si>
  <si>
    <t>1466717192754499584</t>
  </si>
  <si>
    <t>1466724351286427651</t>
  </si>
  <si>
    <t>1466729198274371585</t>
  </si>
  <si>
    <t>1464587585737605120</t>
  </si>
  <si>
    <t>1466745210101288973</t>
  </si>
  <si>
    <t>1464146843869360134</t>
  </si>
  <si>
    <t>1464148223111708672</t>
  </si>
  <si>
    <t>1464146093567008784</t>
  </si>
  <si>
    <t>1464148203759095808</t>
  </si>
  <si>
    <t>1465278954168799232</t>
  </si>
  <si>
    <t>1465601441972817920</t>
  </si>
  <si>
    <t>1465620157515108354</t>
  </si>
  <si>
    <t>1465700583214501895</t>
  </si>
  <si>
    <t>1465703851122511875</t>
  </si>
  <si>
    <t>1465745111430610946</t>
  </si>
  <si>
    <t>1465745376074477576</t>
  </si>
  <si>
    <t>1465745495847014405</t>
  </si>
  <si>
    <t>1466330564449947648</t>
  </si>
  <si>
    <t>1466332663942365185</t>
  </si>
  <si>
    <t>1466751434356150274</t>
  </si>
  <si>
    <t>1466505488032489474</t>
  </si>
  <si>
    <t>1466796372166955013</t>
  </si>
  <si>
    <t>1464858299740962820</t>
  </si>
  <si>
    <t>1466802999947313157</t>
  </si>
  <si>
    <t>1466820360339349510</t>
  </si>
  <si>
    <t>1466819983615406083</t>
  </si>
  <si>
    <t>1465945214309347328</t>
  </si>
  <si>
    <t>1466377264032010241</t>
  </si>
  <si>
    <t>1466878087610646531</t>
  </si>
  <si>
    <t>1462412422380236817</t>
  </si>
  <si>
    <t>1464127343853723674</t>
  </si>
  <si>
    <t>1466883751649189893</t>
  </si>
  <si>
    <t>1466680365968412676</t>
  </si>
  <si>
    <t>1448586562934018050</t>
  </si>
  <si>
    <t>1464194202330411008</t>
  </si>
  <si>
    <t>1466482235498975235</t>
  </si>
  <si>
    <t>1465465153705676801</t>
  </si>
  <si>
    <t>1466938157539241985</t>
  </si>
  <si>
    <t>1467043305313685505</t>
  </si>
  <si>
    <t>1463971580074156045</t>
  </si>
  <si>
    <t>1463987031630131203</t>
  </si>
  <si>
    <t>1463920061694029830</t>
  </si>
  <si>
    <t>1464199793652252702</t>
  </si>
  <si>
    <t>1464321932271235074</t>
  </si>
  <si>
    <t>1464341063343251457</t>
  </si>
  <si>
    <t>1464235590484959239</t>
  </si>
  <si>
    <t>1464255446919823365</t>
  </si>
  <si>
    <t>1464323664145440770</t>
  </si>
  <si>
    <t>1464528485104459777</t>
  </si>
  <si>
    <t>1464507586435334146</t>
  </si>
  <si>
    <t>1464607959598747656</t>
  </si>
  <si>
    <t>1464628022712090629</t>
  </si>
  <si>
    <t>1464660047284293637</t>
  </si>
  <si>
    <t>1464507742274658306</t>
  </si>
  <si>
    <t>1463974623230541836</t>
  </si>
  <si>
    <t>1464338667221274628</t>
  </si>
  <si>
    <t>1464955916986593291</t>
  </si>
  <si>
    <t>1465015991721771010</t>
  </si>
  <si>
    <t>1464992639137333263</t>
  </si>
  <si>
    <t>1464836547526733830</t>
  </si>
  <si>
    <t>1465022721855823883</t>
  </si>
  <si>
    <t>1465014763424043015</t>
  </si>
  <si>
    <t>1465288627907440642</t>
  </si>
  <si>
    <t>1465310124914970625</t>
  </si>
  <si>
    <t>1463934895928094732</t>
  </si>
  <si>
    <t>1464563614744985603</t>
  </si>
  <si>
    <t>1465399058034479107</t>
  </si>
  <si>
    <t>1465372061958823940</t>
  </si>
  <si>
    <t>1465380821200777226</t>
  </si>
  <si>
    <t>1463919140096425984</t>
  </si>
  <si>
    <t>1464942496002318340</t>
  </si>
  <si>
    <t>1465400549923336210</t>
  </si>
  <si>
    <t>1457978758359621633</t>
  </si>
  <si>
    <t>1464876389899902981</t>
  </si>
  <si>
    <t>1464493446551515140</t>
  </si>
  <si>
    <t>1464092755844608001</t>
  </si>
  <si>
    <t>1465117194849853440</t>
  </si>
  <si>
    <t>1465419991990378516</t>
  </si>
  <si>
    <t>1465669571055132674</t>
  </si>
  <si>
    <t>1465660947935240194</t>
  </si>
  <si>
    <t>1465590607469064196</t>
  </si>
  <si>
    <t>1465660300036820992</t>
  </si>
  <si>
    <t>1465779498469806081</t>
  </si>
  <si>
    <t>1465552664050245634</t>
  </si>
  <si>
    <t>1464952657114763266</t>
  </si>
  <si>
    <t>1465629761896685568</t>
  </si>
  <si>
    <t>1465795338552459274</t>
  </si>
  <si>
    <t>1465825215691333636</t>
  </si>
  <si>
    <t>1465798523887181830</t>
  </si>
  <si>
    <t>1463821775964364806</t>
  </si>
  <si>
    <t>1465637102650073088</t>
  </si>
  <si>
    <t>1465646682796957696</t>
  </si>
  <si>
    <t>1465692810602971152</t>
  </si>
  <si>
    <t>1465913639815327744</t>
  </si>
  <si>
    <t>1465896752939155462</t>
  </si>
  <si>
    <t>1465224642277392385</t>
  </si>
  <si>
    <t>1465905448784220160</t>
  </si>
  <si>
    <t>1465924275265843201</t>
  </si>
  <si>
    <t>1465940551576993794</t>
  </si>
  <si>
    <t>1462360461580677128</t>
  </si>
  <si>
    <t>1465953711629479939</t>
  </si>
  <si>
    <t>1465933459944361991</t>
  </si>
  <si>
    <t>1465920323640037376</t>
  </si>
  <si>
    <t>1466005817400963073</t>
  </si>
  <si>
    <t>1465993630099951624</t>
  </si>
  <si>
    <t>1465992283891941377</t>
  </si>
  <si>
    <t>1466009226338349061</t>
  </si>
  <si>
    <t>1465932837446721839</t>
  </si>
  <si>
    <t>1466043308636090370</t>
  </si>
  <si>
    <t>1465993538169192448</t>
  </si>
  <si>
    <t>1464982000469692418</t>
  </si>
  <si>
    <t>1466079239464263683</t>
  </si>
  <si>
    <t>1466083435265634310</t>
  </si>
  <si>
    <t>1466100451733028866</t>
  </si>
  <si>
    <t>1466106328955371523</t>
  </si>
  <si>
    <t>1466106814609739777</t>
  </si>
  <si>
    <t>1466094378297012230</t>
  </si>
  <si>
    <t>1464902908110151680</t>
  </si>
  <si>
    <t>1465773688918364174</t>
  </si>
  <si>
    <t>1466326646223478786</t>
  </si>
  <si>
    <t>1466183253870747659</t>
  </si>
  <si>
    <t>1463851736972541953</t>
  </si>
  <si>
    <t>1464100553475203074</t>
  </si>
  <si>
    <t>1465675313132748800</t>
  </si>
  <si>
    <t>1466361399651803139</t>
  </si>
  <si>
    <t>1465768550216388618</t>
  </si>
  <si>
    <t>1466139153171726344</t>
  </si>
  <si>
    <t>1466139199556538377</t>
  </si>
  <si>
    <t>1466412944930054149</t>
  </si>
  <si>
    <t>1463973382442131468</t>
  </si>
  <si>
    <t>1464101688684462082</t>
  </si>
  <si>
    <t>1464367774642458624</t>
  </si>
  <si>
    <t>1466116481368924165</t>
  </si>
  <si>
    <t>1465632650278981635</t>
  </si>
  <si>
    <t>1466672942490738689</t>
  </si>
  <si>
    <t>1466682992668065794</t>
  </si>
  <si>
    <t>1466727390319718401</t>
  </si>
  <si>
    <t>1464107714150346766</t>
  </si>
  <si>
    <t>1465278614354673667</t>
  </si>
  <si>
    <t>1465600896637624324</t>
  </si>
  <si>
    <t>1465611017862455300</t>
  </si>
  <si>
    <t>1465548455749816320</t>
  </si>
  <si>
    <t>1466330391946481668</t>
  </si>
  <si>
    <t>1466469062096175108</t>
  </si>
  <si>
    <t>1464839677026914306</t>
  </si>
  <si>
    <t>1466789204244013064</t>
  </si>
  <si>
    <t>1466818454967754752</t>
  </si>
  <si>
    <t>1466358436422115332</t>
  </si>
  <si>
    <t>1466867364746735630</t>
  </si>
  <si>
    <t>1463465856978010112</t>
  </si>
  <si>
    <t>1466881364989517827</t>
  </si>
  <si>
    <t>1448187776646660102</t>
  </si>
  <si>
    <t>1465464777187155979</t>
  </si>
  <si>
    <t>1466714062423830536</t>
  </si>
  <si>
    <t>1467029535971491844</t>
  </si>
  <si>
    <t/>
  </si>
  <si>
    <t>3333144359</t>
  </si>
  <si>
    <t>974567142</t>
  </si>
  <si>
    <t>1346943221067370504</t>
  </si>
  <si>
    <t>729092700</t>
  </si>
  <si>
    <t>1055255910</t>
  </si>
  <si>
    <t>1421404242913415174</t>
  </si>
  <si>
    <t>998827386</t>
  </si>
  <si>
    <t>1187410640752787456</t>
  </si>
  <si>
    <t>1328790932418867219</t>
  </si>
  <si>
    <t>254131446</t>
  </si>
  <si>
    <t>1095605271433564161</t>
  </si>
  <si>
    <t>142197957</t>
  </si>
  <si>
    <t>1430519398465515521</t>
  </si>
  <si>
    <t>1203256141867868160</t>
  </si>
  <si>
    <t>3081793421</t>
  </si>
  <si>
    <t>1452246744859922442</t>
  </si>
  <si>
    <t>1445063360417091589</t>
  </si>
  <si>
    <t>185821367</t>
  </si>
  <si>
    <t>1327921192523755520</t>
  </si>
  <si>
    <t>409145580</t>
  </si>
  <si>
    <t>282285145</t>
  </si>
  <si>
    <t>1118889788332023810</t>
  </si>
  <si>
    <t>1238379422123790338</t>
  </si>
  <si>
    <t>2573478929</t>
  </si>
  <si>
    <t>1968534906</t>
  </si>
  <si>
    <t>875133719316705280</t>
  </si>
  <si>
    <t>1372072699212800001</t>
  </si>
  <si>
    <t>1298341290644516867</t>
  </si>
  <si>
    <t>1308837860259368961</t>
  </si>
  <si>
    <t>841737156</t>
  </si>
  <si>
    <t>42003978</t>
  </si>
  <si>
    <t>713937495</t>
  </si>
  <si>
    <t>284488270</t>
  </si>
  <si>
    <t>1295405057081573376</t>
  </si>
  <si>
    <t>752198331250671616</t>
  </si>
  <si>
    <t>1374340906472595462</t>
  </si>
  <si>
    <t>1330876964320780293</t>
  </si>
  <si>
    <t>1206667468141408256</t>
  </si>
  <si>
    <t>931653562366660609</t>
  </si>
  <si>
    <t>2208394298</t>
  </si>
  <si>
    <t>201634756</t>
  </si>
  <si>
    <t>257947811</t>
  </si>
  <si>
    <t>1272093986</t>
  </si>
  <si>
    <t>1234614103</t>
  </si>
  <si>
    <t>1198603178197037056</t>
  </si>
  <si>
    <t>555126030</t>
  </si>
  <si>
    <t>1702199024</t>
  </si>
  <si>
    <t>2328232792</t>
  </si>
  <si>
    <t>1384313677743108098</t>
  </si>
  <si>
    <t>3899591261</t>
  </si>
  <si>
    <t>1354586647652782080</t>
  </si>
  <si>
    <t>1207540662549254144</t>
  </si>
  <si>
    <t>698815144151928832</t>
  </si>
  <si>
    <t>2856615767</t>
  </si>
  <si>
    <t>521300849</t>
  </si>
  <si>
    <t>575338673</t>
  </si>
  <si>
    <t>1434480656881487881</t>
  </si>
  <si>
    <t>1206848220695007233</t>
  </si>
  <si>
    <t>165465596</t>
  </si>
  <si>
    <t>93399013</t>
  </si>
  <si>
    <t>299323949</t>
  </si>
  <si>
    <t>21472089</t>
  </si>
  <si>
    <t>1408787931804930055</t>
  </si>
  <si>
    <t>1288522804338610180</t>
  </si>
  <si>
    <t>226684702</t>
  </si>
  <si>
    <t>41630922</t>
  </si>
  <si>
    <t>2769822339</t>
  </si>
  <si>
    <t>829188680</t>
  </si>
  <si>
    <t>3007961321</t>
  </si>
  <si>
    <t>994865627901947905</t>
  </si>
  <si>
    <t>237769481</t>
  </si>
  <si>
    <t>1387846007665352710</t>
  </si>
  <si>
    <t>269749934</t>
  </si>
  <si>
    <t>1361436878285725696</t>
  </si>
  <si>
    <t>1387875034702749703</t>
  </si>
  <si>
    <t>993692564</t>
  </si>
  <si>
    <t>1247744224373526530</t>
  </si>
  <si>
    <t>1172580791701970944</t>
  </si>
  <si>
    <t>21284329</t>
  </si>
  <si>
    <t>71061262</t>
  </si>
  <si>
    <t>1689500462</t>
  </si>
  <si>
    <t>184747547</t>
  </si>
  <si>
    <t>927968133251518464</t>
  </si>
  <si>
    <t>1057519880</t>
  </si>
  <si>
    <t>752678848412590080</t>
  </si>
  <si>
    <t>252987054</t>
  </si>
  <si>
    <t>1365927342460325889</t>
  </si>
  <si>
    <t>1087094918462484480</t>
  </si>
  <si>
    <t>23582005</t>
  </si>
  <si>
    <t>489523654</t>
  </si>
  <si>
    <t>89196106</t>
  </si>
  <si>
    <t>493840009</t>
  </si>
  <si>
    <t>27093184</t>
  </si>
  <si>
    <t>261187564</t>
  </si>
  <si>
    <t>29936649</t>
  </si>
  <si>
    <t>1443070214</t>
  </si>
  <si>
    <t>1163754769258819586</t>
  </si>
  <si>
    <t>2436402515</t>
  </si>
  <si>
    <t>4297831041</t>
  </si>
  <si>
    <t>1291140197963489286</t>
  </si>
  <si>
    <t>754365747107917824</t>
  </si>
  <si>
    <t>2897552535</t>
  </si>
  <si>
    <t>1163796210068705283</t>
  </si>
  <si>
    <t>fi</t>
  </si>
  <si>
    <t>und</t>
  </si>
  <si>
    <t>tr</t>
  </si>
  <si>
    <t>et</t>
  </si>
  <si>
    <t>1464528600175194112</t>
  </si>
  <si>
    <t>1463493922437619715</t>
  </si>
  <si>
    <t>1466446380843606025</t>
  </si>
  <si>
    <t>1463819121091563522</t>
  </si>
  <si>
    <t>Twitter Web App</t>
  </si>
  <si>
    <t>Twitter for iPhone</t>
  </si>
  <si>
    <t>Twitter for Android</t>
  </si>
  <si>
    <t>Twitter for iPad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</si>
  <si>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</si>
  <si>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</si>
  <si>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</si>
  <si>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</si>
  <si>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</si>
  <si>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</si>
  <si>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</si>
  <si>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</si>
  <si>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</si>
  <si>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</si>
  <si>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</si>
  <si>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</si>
  <si>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</si>
  <si>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</si>
  <si>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</si>
  <si>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</si>
  <si>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</si>
  <si>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</si>
  <si>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</si>
  <si>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</si>
  <si>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</si>
  <si>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</si>
  <si>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</si>
  <si>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Iikka Kivi</t>
  </si>
  <si>
    <t>#Petri1</t>
  </si>
  <si>
    <t>Investing Imagination_xD83C__xDDEB__xD83C__xDDEE__xD83C__xDDF8__xD83C__xDDEA_</t>
  </si>
  <si>
    <t>#koronafi</t>
  </si>
  <si>
    <t>Iina-Maiju Mäki</t>
  </si>
  <si>
    <t>Susku London</t>
  </si>
  <si>
    <t>Antti Heikkilä</t>
  </si>
  <si>
    <t>Kilpikonna!</t>
  </si>
  <si>
    <t>Heikki Rayhantausta</t>
  </si>
  <si>
    <t>Tuomas Koljonen</t>
  </si>
  <si>
    <t>Petri Mäenpää</t>
  </si>
  <si>
    <t>Riku Pasonen</t>
  </si>
  <si>
    <t>Juho Salo</t>
  </si>
  <si>
    <t>Aulikki Nyberg</t>
  </si>
  <si>
    <t>Masu</t>
  </si>
  <si>
    <t>Yle Uutiset</t>
  </si>
  <si>
    <t>Heli P.</t>
  </si>
  <si>
    <t>VeePee Nyman _xD83C__xDDEB__xD83C__xDDEE_</t>
  </si>
  <si>
    <t>Kirsi Anneli</t>
  </si>
  <si>
    <t>Laura _xD83D__xDC38_</t>
  </si>
  <si>
    <t>Kaarina Jantunen</t>
  </si>
  <si>
    <t>Ilta-Sanomat</t>
  </si>
  <si>
    <t>Lasse Lehtonen</t>
  </si>
  <si>
    <t>Tommi Mikkonen</t>
  </si>
  <si>
    <t>Heikki Pälve</t>
  </si>
  <si>
    <t>Lauri Paavola</t>
  </si>
  <si>
    <t>Neon ghost</t>
  </si>
  <si>
    <t>SpikeFree</t>
  </si>
  <si>
    <t>Henri Elo</t>
  </si>
  <si>
    <t>Mika Ihamuotila</t>
  </si>
  <si>
    <t>Esa Hakarauta</t>
  </si>
  <si>
    <t>Jari Sarasvuo</t>
  </si>
  <si>
    <t>_xD83E__xDD8B_</t>
  </si>
  <si>
    <t>Tkans</t>
  </si>
  <si>
    <t>darguner</t>
  </si>
  <si>
    <t>Jari Leino</t>
  </si>
  <si>
    <t>Arlen</t>
  </si>
  <si>
    <t>Maurijo Hirvonen</t>
  </si>
  <si>
    <t>Aku Tuovinen</t>
  </si>
  <si>
    <t>Olli Kuokka</t>
  </si>
  <si>
    <t>Kat</t>
  </si>
  <si>
    <t>Sari Heinonen</t>
  </si>
  <si>
    <t>Veli Kilpirinne</t>
  </si>
  <si>
    <t>Matti Reinikka</t>
  </si>
  <si>
    <t>Piilevä Etelänmies</t>
  </si>
  <si>
    <t>Maria Nordin</t>
  </si>
  <si>
    <t>Tuomo Honkanen</t>
  </si>
  <si>
    <t>John Pulmanen</t>
  </si>
  <si>
    <t>Tomi Rechardt</t>
  </si>
  <si>
    <t>Välimäki</t>
  </si>
  <si>
    <t>Ari Kanerva</t>
  </si>
  <si>
    <t>"Samuli Glöersen"</t>
  </si>
  <si>
    <t>Richard Johnson</t>
  </si>
  <si>
    <t>Hannu Järvinen</t>
  </si>
  <si>
    <t>Risto Reipas</t>
  </si>
  <si>
    <t>Päivän Byrokraatti</t>
  </si>
  <si>
    <t>Teemu</t>
  </si>
  <si>
    <t>Petri Pellinen</t>
  </si>
  <si>
    <t>Sami Antinniemi</t>
  </si>
  <si>
    <t>I am Byroo</t>
  </si>
  <si>
    <t>Unbiased Observer _xD83E__xDD85__xD83C__xDDEB__xD83C__xDDEE_</t>
  </si>
  <si>
    <t>Sami Hänninen ,Thinker</t>
  </si>
  <si>
    <t>Timo Hirvi</t>
  </si>
  <si>
    <t>Pekka Porkka</t>
  </si>
  <si>
    <t>Sebastian Mäki | Piraatit | Turku _xD83C__xDDEB__xD83C__xDDEE__xD83C__xDDEA__xD83C__xDDFA__xD83C__xDF0D_</t>
  </si>
  <si>
    <t>Miia S-M</t>
  </si>
  <si>
    <t>Oskari Mölkänen</t>
  </si>
  <si>
    <t>Laura Korpinen</t>
  </si>
  <si>
    <t>kikki-mirri</t>
  </si>
  <si>
    <t>Vanessa</t>
  </si>
  <si>
    <t>Kari Karva _xD83C__xDDEB__xD83C__xDDEE_</t>
  </si>
  <si>
    <t>Kimmo Rautanen</t>
  </si>
  <si>
    <t>Maahanmuuttokriittinen kansanliike, MaKriKaLi </t>
  </si>
  <si>
    <t>Eeva Pirilä</t>
  </si>
  <si>
    <t>BP2018 Zero Covid</t>
  </si>
  <si>
    <t>Antti Pirttimäki</t>
  </si>
  <si>
    <t>Jouni Tuonela</t>
  </si>
  <si>
    <t>Silent Watcher</t>
  </si>
  <si>
    <t>Aikuinen</t>
  </si>
  <si>
    <t>Matti Viren</t>
  </si>
  <si>
    <t>Risto Laine</t>
  </si>
  <si>
    <t>Finnelandia</t>
  </si>
  <si>
    <t>Arch-Physicist _xD83D__xDE37_ #ZeroCovid</t>
  </si>
  <si>
    <t>Harry</t>
  </si>
  <si>
    <t>Viljami</t>
  </si>
  <si>
    <t>Tapio Suominen</t>
  </si>
  <si>
    <t>Jami</t>
  </si>
  <si>
    <t>Mikko Kärnä</t>
  </si>
  <si>
    <t>Markku Lehtinen</t>
  </si>
  <si>
    <t>Jethro Rostedt</t>
  </si>
  <si>
    <t>TommiH</t>
  </si>
  <si>
    <t>Timo Tiainen</t>
  </si>
  <si>
    <t>eero koivupuro</t>
  </si>
  <si>
    <t>Totuusseerumi</t>
  </si>
  <si>
    <t>Katja Kurkinen</t>
  </si>
  <si>
    <t>Aki Linden</t>
  </si>
  <si>
    <t>Hanna Sokajärvi</t>
  </si>
  <si>
    <t>The Pete -Real thing-</t>
  </si>
  <si>
    <t>Suvi</t>
  </si>
  <si>
    <t>Sauli Pihatto</t>
  </si>
  <si>
    <t>A-M R</t>
  </si>
  <si>
    <t>Mikael Niku</t>
  </si>
  <si>
    <t>Mr Fabric</t>
  </si>
  <si>
    <t>Palalaikka</t>
  </si>
  <si>
    <t>Mats Rönnback</t>
  </si>
  <si>
    <t>Hugo Fitlund</t>
  </si>
  <si>
    <t>Katariina</t>
  </si>
  <si>
    <t>Tomi Aalto-Satakunnan aluevaaliehdokas</t>
  </si>
  <si>
    <t>Hanna Nohynek</t>
  </si>
  <si>
    <t>Mika Salminen _xD83C__xDDEA__xD83C__xDDFA_</t>
  </si>
  <si>
    <t>Koronakuiskaaja</t>
  </si>
  <si>
    <t>Arde (no-GMO)</t>
  </si>
  <si>
    <t>Heini Kettunen</t>
  </si>
  <si>
    <t>Nasima Razmyar</t>
  </si>
  <si>
    <t>Jay_Eagle__River17</t>
  </si>
  <si>
    <t>Suvi Turtiainen</t>
  </si>
  <si>
    <t>Informaanikko</t>
  </si>
  <si>
    <t>Hilma H.</t>
  </si>
  <si>
    <t>Teris</t>
  </si>
  <si>
    <t>Ann</t>
  </si>
  <si>
    <t>Päike</t>
  </si>
  <si>
    <t>Riina Meriläinen</t>
  </si>
  <si>
    <t>HF</t>
  </si>
  <si>
    <t>BinkeS</t>
  </si>
  <si>
    <t>Emppu Vuori</t>
  </si>
  <si>
    <t>Pierre Review</t>
  </si>
  <si>
    <t>Eija-Riitta Korhola</t>
  </si>
  <si>
    <t>Anitta _xD83C__xDF38__xD83D__xDC9F_✝️_xD83D__xDD4E_</t>
  </si>
  <si>
    <t>Petteri Leppä</t>
  </si>
  <si>
    <t>Markku Pakarinen</t>
  </si>
  <si>
    <t>Marcus Bacardinen</t>
  </si>
  <si>
    <t>Sanna Marita Piipponen(ex-rva Kulomaa) White Power</t>
  </si>
  <si>
    <t>Aani Eramaassa</t>
  </si>
  <si>
    <t>Sale Setämies</t>
  </si>
  <si>
    <t>Jarmo Ekman _xD83C__xDDEB__xD83C__xDDEE_</t>
  </si>
  <si>
    <t>Janus Putkonen</t>
  </si>
  <si>
    <t>Dosentti Johan Bäckman Official</t>
  </si>
  <si>
    <t>Juha Korhonen</t>
  </si>
  <si>
    <t>Nico Giansanti</t>
  </si>
  <si>
    <t>Ike Novikoff</t>
  </si>
  <si>
    <t>Laura Huhtasaari _xD83C__xDDEB__xD83C__xDDEE_ kantasuomalainen MEP</t>
  </si>
  <si>
    <t>Saara Huhtasaari</t>
  </si>
  <si>
    <t>kansallisromantikko.fi</t>
  </si>
  <si>
    <t>Panu Huuhtanen _xD83C__xDDEB__xD83C__xDDEE_</t>
  </si>
  <si>
    <t>Fimea</t>
  </si>
  <si>
    <t>THL</t>
  </si>
  <si>
    <t>HUS Helsingin yliopistollinen sairaala</t>
  </si>
  <si>
    <t>Petri Sivonen</t>
  </si>
  <si>
    <t>Jani Mäkelä</t>
  </si>
  <si>
    <t>-Satakunnan Olli-</t>
  </si>
  <si>
    <t>Sari Sarkomaa</t>
  </si>
  <si>
    <t>Tom Isaksson _xD83C__xDDEB__xD83C__xDDEE_</t>
  </si>
  <si>
    <t>Tiina Keskimäki</t>
  </si>
  <si>
    <t>MirKHe</t>
  </si>
  <si>
    <t>Eija Aittola _xD83D__xDC99_, Kok, Riihimäki,</t>
  </si>
  <si>
    <t>Ano Turtiainen</t>
  </si>
  <si>
    <t>Tomi Salonen</t>
  </si>
  <si>
    <t>Muhis Azizi</t>
  </si>
  <si>
    <t>Tommi Kinnunen</t>
  </si>
  <si>
    <t>Fin</t>
  </si>
  <si>
    <t>PenJussi</t>
  </si>
  <si>
    <t>Hilkka Vasenius</t>
  </si>
  <si>
    <t>Universumin Urho</t>
  </si>
  <si>
    <t>Heikki Vienonen</t>
  </si>
  <si>
    <t>Krenatööri</t>
  </si>
  <si>
    <t>Stig-Ove Madetoja</t>
  </si>
  <si>
    <t>Jyrki Könönen</t>
  </si>
  <si>
    <t>Vyyhdinpurkaja</t>
  </si>
  <si>
    <t>Vesa Savela</t>
  </si>
  <si>
    <t>Harriet Hannon _xD83C__xDDEB__xD83C__xDDEE_</t>
  </si>
  <si>
    <t>Seppo Varmavuo</t>
  </si>
  <si>
    <t>Jonna Seppänen</t>
  </si>
  <si>
    <t>Kehottelija</t>
  </si>
  <si>
    <t>Miska Kemppinen</t>
  </si>
  <si>
    <t>Joakim Wahlberg</t>
  </si>
  <si>
    <t>odds</t>
  </si>
  <si>
    <t>Takapirulainen</t>
  </si>
  <si>
    <t>Lars Laumansuojaaja G.B.D.</t>
  </si>
  <si>
    <t>Jorma Pikkupeura</t>
  </si>
  <si>
    <t>Maija Maitoparta</t>
  </si>
  <si>
    <t>Tee Tee</t>
  </si>
  <si>
    <t>Hezerminat_xD83E__xDDED_r</t>
  </si>
  <si>
    <t>Mikael Montonen</t>
  </si>
  <si>
    <t>Matti H. Virtanen</t>
  </si>
  <si>
    <t>LiSna</t>
  </si>
  <si>
    <t>Manu Tenhunen</t>
  </si>
  <si>
    <t>arttu haemaelaeinen</t>
  </si>
  <si>
    <t>JP Korhonen</t>
  </si>
  <si>
    <t>Mikko Jokela</t>
  </si>
  <si>
    <t>karink</t>
  </si>
  <si>
    <t>Markus</t>
  </si>
  <si>
    <t>Tiedonhaluinen</t>
  </si>
  <si>
    <t>esko luukkonen</t>
  </si>
  <si>
    <t>Nullius</t>
  </si>
  <si>
    <t>Mrjg</t>
  </si>
  <si>
    <t>adele kottarainen</t>
  </si>
  <si>
    <t>tiana_the_terrible</t>
  </si>
  <si>
    <t>Teslailija_xD83C__xDDE8__xD83C__xDDED__xD83C__xDDEB__xD83C__xDDEE_</t>
  </si>
  <si>
    <t>Tim Mähönen _xD83C__xDDEB__xD83C__xDDEE__xD83C__xDFF4_‍☠️</t>
  </si>
  <si>
    <t>Kimmo Viikari</t>
  </si>
  <si>
    <t>Pierre Kory, MD MPA</t>
  </si>
  <si>
    <t>Miikka Korja</t>
  </si>
  <si>
    <t>Lotta Hällström</t>
  </si>
  <si>
    <t>Petri Böckerman</t>
  </si>
  <si>
    <t>Elias Aarnio</t>
  </si>
  <si>
    <t>Jouni Peltoniemi</t>
  </si>
  <si>
    <t>Juha Nevalainen</t>
  </si>
  <si>
    <t>Markus Kiili</t>
  </si>
  <si>
    <t>TsemppiKoala _xD83D__xDC28_™️</t>
  </si>
  <si>
    <t>Pätikkä</t>
  </si>
  <si>
    <t>Katri</t>
  </si>
  <si>
    <t>Suomen Sekoomus ✂️_xD83D__xDC99_</t>
  </si>
  <si>
    <t>Rope</t>
  </si>
  <si>
    <t>P&amp;M² _xD83C__xDF08__xD83D__xDC31__xD83D__xDCF8__xD83D__xDCDA__xD83C__xDFA8__xD83C__xDFB6__xD83D__xDC83__xD83C__xDF77_</t>
  </si>
  <si>
    <t>Nakkejakki</t>
  </si>
  <si>
    <t>XARME7O</t>
  </si>
  <si>
    <t>Markku Laitinen</t>
  </si>
  <si>
    <t>Mikko Korhonen</t>
  </si>
  <si>
    <t>Jukka Säkkinen</t>
  </si>
  <si>
    <t>Arto Kekkonen</t>
  </si>
  <si>
    <t>P Ranta</t>
  </si>
  <si>
    <t>Veikko Sinisalo</t>
  </si>
  <si>
    <t>⚖️ Maaninka ⚔️</t>
  </si>
  <si>
    <t>Markus Sovala</t>
  </si>
  <si>
    <t>pahapäinen nainen | _xD83C__xDFF3_️‍_xD83C__xDF08__xD83C__xDFF3_️‍⚧️</t>
  </si>
  <si>
    <t>Sarianna Nikkola</t>
  </si>
  <si>
    <t>Jammu Saloniemi</t>
  </si>
  <si>
    <t>Paul</t>
  </si>
  <si>
    <t>Maria</t>
  </si>
  <si>
    <t>Henkka</t>
  </si>
  <si>
    <t>Tuomas Enbuske</t>
  </si>
  <si>
    <t>Hanna Maria</t>
  </si>
  <si>
    <t>Pakolliset meemit</t>
  </si>
  <si>
    <t>Janne Piri</t>
  </si>
  <si>
    <t>Sirkkeli (Control Group)</t>
  </si>
  <si>
    <t>Tuuli Koivu</t>
  </si>
  <si>
    <t>Minna Talvitie</t>
  </si>
  <si>
    <t>Riku Ranta</t>
  </si>
  <si>
    <t>Noman Dates</t>
  </si>
  <si>
    <t>Helsingin Sanomat</t>
  </si>
  <si>
    <t>Arto Lehikoinen</t>
  </si>
  <si>
    <t>Leif Norrgård</t>
  </si>
  <si>
    <t>Robin hååd</t>
  </si>
  <si>
    <t>Jarno Saukkoriipi</t>
  </si>
  <si>
    <t>Antti Rajala</t>
  </si>
  <si>
    <t>Kissanviikset</t>
  </si>
  <si>
    <t>Seppo Kylmänen _xD83C__xDDEB__xD83C__xDDEE_</t>
  </si>
  <si>
    <t>Juha Ketola</t>
  </si>
  <si>
    <t>Eero Vainionpää</t>
  </si>
  <si>
    <t>Anni Lahti</t>
  </si>
  <si>
    <t>Jarno Virtanen</t>
  </si>
  <si>
    <t>Satu Hassi</t>
  </si>
  <si>
    <t>庚子灭共(文瑞)_xD83C__xDDEB__xD83C__xDDEE__xD83C__xDDF8__xD83C__xDDEA__xD83C__xDDED__xD83C__xDDF0__xD83C__xDDF9__xD83C__xDDFC_</t>
  </si>
  <si>
    <t>Pauli Kouri</t>
  </si>
  <si>
    <t>Esa</t>
  </si>
  <si>
    <t>SuvиВИПчлен-Контр.группа _xD83D__xDE09__xD83D__xDC4D_</t>
  </si>
  <si>
    <t>Paüliina</t>
  </si>
  <si>
    <t>Mikael Jungner</t>
  </si>
  <si>
    <t>J.k.T</t>
  </si>
  <si>
    <t>Riitta.</t>
  </si>
  <si>
    <t>Lester Diamond</t>
  </si>
  <si>
    <t>Crowgirl _xD83D__xDC26_</t>
  </si>
  <si>
    <t>Lauri Lindén</t>
  </si>
  <si>
    <t>Vilpe</t>
  </si>
  <si>
    <t>Essi Helminen</t>
  </si>
  <si>
    <t>Peter Parikka</t>
  </si>
  <si>
    <t>Steven Richardson</t>
  </si>
  <si>
    <t>Jukka-Petteri Laine</t>
  </si>
  <si>
    <t>Vuokko Virkki</t>
  </si>
  <si>
    <t>World Health Organization (WHO)</t>
  </si>
  <si>
    <t>Sosiaali- ja terveysministeriö</t>
  </si>
  <si>
    <t>Eero Salin</t>
  </si>
  <si>
    <t>Eero Kurakko</t>
  </si>
  <si>
    <t>Nestori Huuskonen</t>
  </si>
  <si>
    <t>Ivan Puopolo</t>
  </si>
  <si>
    <t>Antti Vanas</t>
  </si>
  <si>
    <t>joni tuominen</t>
  </si>
  <si>
    <t>Uusi Suomi</t>
  </si>
  <si>
    <t>Antero</t>
  </si>
  <si>
    <t>Atso Almila_xD83C__xDDEB__xD83C__xDDEE__xD83C__xDDEA__xD83C__xDDFA__xD83C__xDFF3_️‍_xD83C__xDF08__xD83C__xDFB6_</t>
  </si>
  <si>
    <t>Juhani Knuuti</t>
  </si>
  <si>
    <t>MTV</t>
  </si>
  <si>
    <t>Timo Lappi</t>
  </si>
  <si>
    <t>Emania</t>
  </si>
  <si>
    <t>Stayin'Alive</t>
  </si>
  <si>
    <t>Eero Heikkinen</t>
  </si>
  <si>
    <t>Tυɾɳυƙƙαραɾƚα®</t>
  </si>
  <si>
    <t>Jahvetti</t>
  </si>
  <si>
    <t>Pertti Piirto _xD83C__xDDEB__xD83C__xDDEE_</t>
  </si>
  <si>
    <t>Maarit Kaari - Rossi</t>
  </si>
  <si>
    <t>Aila Vilen</t>
  </si>
  <si>
    <t>Panu Saarela</t>
  </si>
  <si>
    <t>Kanki Oy</t>
  </si>
  <si>
    <t>Tapio Puolimatka</t>
  </si>
  <si>
    <t>Cleverheart</t>
  </si>
  <si>
    <t>1527117008</t>
  </si>
  <si>
    <t>1455252890549903367</t>
  </si>
  <si>
    <t>1241312840864194560</t>
  </si>
  <si>
    <t>1408701854838575110</t>
  </si>
  <si>
    <t>1686142400</t>
  </si>
  <si>
    <t>2380252728</t>
  </si>
  <si>
    <t>1405847422375444481</t>
  </si>
  <si>
    <t>172313457</t>
  </si>
  <si>
    <t>2820364349</t>
  </si>
  <si>
    <t>469242004</t>
  </si>
  <si>
    <t>1421618604</t>
  </si>
  <si>
    <t>23502747</t>
  </si>
  <si>
    <t>1929852914</t>
  </si>
  <si>
    <t>1457529515186524164</t>
  </si>
  <si>
    <t>1206315356832305152</t>
  </si>
  <si>
    <t>1886444366</t>
  </si>
  <si>
    <t>29057955</t>
  </si>
  <si>
    <t>578120900</t>
  </si>
  <si>
    <t>909705590</t>
  </si>
  <si>
    <t>1307235737994223617</t>
  </si>
  <si>
    <t>1083767916544385029</t>
  </si>
  <si>
    <t>2674117633</t>
  </si>
  <si>
    <t>1014742658</t>
  </si>
  <si>
    <t>2328637999</t>
  </si>
  <si>
    <t>1340644063473786881</t>
  </si>
  <si>
    <t>793486988</t>
  </si>
  <si>
    <t>1039281821438173184</t>
  </si>
  <si>
    <t>1285487656588247046</t>
  </si>
  <si>
    <t>1002186560639590403</t>
  </si>
  <si>
    <t>299127090</t>
  </si>
  <si>
    <t>1424045502891536388</t>
  </si>
  <si>
    <t>1195010491627773952</t>
  </si>
  <si>
    <t>978364369284288512</t>
  </si>
  <si>
    <t>960127046</t>
  </si>
  <si>
    <t>460925479</t>
  </si>
  <si>
    <t>2983820649</t>
  </si>
  <si>
    <t>1404521468</t>
  </si>
  <si>
    <t>1252205251161214978</t>
  </si>
  <si>
    <t>1420219526</t>
  </si>
  <si>
    <t>1312135409372205056</t>
  </si>
  <si>
    <t>18105947</t>
  </si>
  <si>
    <t>1107610132379250690</t>
  </si>
  <si>
    <t>4733077337</t>
  </si>
  <si>
    <t>1385864377220444166</t>
  </si>
  <si>
    <t>895697298</t>
  </si>
  <si>
    <t>3825419727</t>
  </si>
  <si>
    <t>1378687566250135553</t>
  </si>
  <si>
    <t>1188736413208121345</t>
  </si>
  <si>
    <t>1812003157</t>
  </si>
  <si>
    <t>4853607629</t>
  </si>
  <si>
    <t>1235220781967298560</t>
  </si>
  <si>
    <t>22361990</t>
  </si>
  <si>
    <t>1448851667303104514</t>
  </si>
  <si>
    <t>1297972502929473536</t>
  </si>
  <si>
    <t>946899871759585280</t>
  </si>
  <si>
    <t>1129442825349804033</t>
  </si>
  <si>
    <t>306767271</t>
  </si>
  <si>
    <t>982353374455783424</t>
  </si>
  <si>
    <t>531527946</t>
  </si>
  <si>
    <t>540586237</t>
  </si>
  <si>
    <t>1386757658242338817</t>
  </si>
  <si>
    <t>2361418238</t>
  </si>
  <si>
    <t>1428806421999665155</t>
  </si>
  <si>
    <t>1467949519</t>
  </si>
  <si>
    <t>1434167843763916800</t>
  </si>
  <si>
    <t>44904161</t>
  </si>
  <si>
    <t>2350222462</t>
  </si>
  <si>
    <t>1457292092607193093</t>
  </si>
  <si>
    <t>1153586204547387392</t>
  </si>
  <si>
    <t>954987784774832128</t>
  </si>
  <si>
    <t>541810978</t>
  </si>
  <si>
    <t>1608295104</t>
  </si>
  <si>
    <t>1338420168834375684</t>
  </si>
  <si>
    <t>1243431404</t>
  </si>
  <si>
    <t>1437715623530967041</t>
  </si>
  <si>
    <t>54871191</t>
  </si>
  <si>
    <t>1054414270572703746</t>
  </si>
  <si>
    <t>1131238847638134784</t>
  </si>
  <si>
    <t>1348867137801248768</t>
  </si>
  <si>
    <t>1139139536213221376</t>
  </si>
  <si>
    <t>1378641190699032576</t>
  </si>
  <si>
    <t>1708047870</t>
  </si>
  <si>
    <t>917733939527200768</t>
  </si>
  <si>
    <t>1420702048421560323</t>
  </si>
  <si>
    <t>1462149556519550982</t>
  </si>
  <si>
    <t>1455651357789237254</t>
  </si>
  <si>
    <t>1285976389607358466</t>
  </si>
  <si>
    <t>1262718096629997569</t>
  </si>
  <si>
    <t>1440690902100443153</t>
  </si>
  <si>
    <t>297020175</t>
  </si>
  <si>
    <t>4155947477</t>
  </si>
  <si>
    <t>201677623</t>
  </si>
  <si>
    <t>962923216300896256</t>
  </si>
  <si>
    <t>180709194</t>
  </si>
  <si>
    <t>33669520</t>
  </si>
  <si>
    <t>1606473660</t>
  </si>
  <si>
    <t>1092444849406652421</t>
  </si>
  <si>
    <t>967728009787727874</t>
  </si>
  <si>
    <t>802813232515837952</t>
  </si>
  <si>
    <t>587285390</t>
  </si>
  <si>
    <t>208484103</t>
  </si>
  <si>
    <t>1072604511024398339</t>
  </si>
  <si>
    <t>2425601542</t>
  </si>
  <si>
    <t>4899269452</t>
  </si>
  <si>
    <t>1315120923780022275</t>
  </si>
  <si>
    <t>1443565520557588481</t>
  </si>
  <si>
    <t>925320196432244736</t>
  </si>
  <si>
    <t>1432970722331222017</t>
  </si>
  <si>
    <t>886644002</t>
  </si>
  <si>
    <t>2884523091</t>
  </si>
  <si>
    <t>824487121201299456</t>
  </si>
  <si>
    <t>4880279367</t>
  </si>
  <si>
    <t>3490955837</t>
  </si>
  <si>
    <t>1418533709226123268</t>
  </si>
  <si>
    <t>1304075518728433665</t>
  </si>
  <si>
    <t>1439334559</t>
  </si>
  <si>
    <t>1448965464680505371</t>
  </si>
  <si>
    <t>1251189088046252036</t>
  </si>
  <si>
    <t>3208416489</t>
  </si>
  <si>
    <t>1430769658383241220</t>
  </si>
  <si>
    <t>3064798342</t>
  </si>
  <si>
    <t>78670172</t>
  </si>
  <si>
    <t>1350781761094094849</t>
  </si>
  <si>
    <t>28408744</t>
  </si>
  <si>
    <t>1041222535759593472</t>
  </si>
  <si>
    <t>1415649743032700931</t>
  </si>
  <si>
    <t>5689782</t>
  </si>
  <si>
    <t>1325846683196985345</t>
  </si>
  <si>
    <t>1198081075</t>
  </si>
  <si>
    <t>2202031068</t>
  </si>
  <si>
    <t>1451787098</t>
  </si>
  <si>
    <t>1451133415210856449</t>
  </si>
  <si>
    <t>2163723997</t>
  </si>
  <si>
    <t>621109658</t>
  </si>
  <si>
    <t>1243555670370193417</t>
  </si>
  <si>
    <t>279468522</t>
  </si>
  <si>
    <t>1205663545</t>
  </si>
  <si>
    <t>823131547779874817</t>
  </si>
  <si>
    <t>1328250727660216321</t>
  </si>
  <si>
    <t>998912589706022915</t>
  </si>
  <si>
    <t>854998835604729856</t>
  </si>
  <si>
    <t>1366004599019175936</t>
  </si>
  <si>
    <t>1162285142229995520</t>
  </si>
  <si>
    <t>790036766</t>
  </si>
  <si>
    <t>805073545076338688</t>
  </si>
  <si>
    <t>1610983362</t>
  </si>
  <si>
    <t>56791085</t>
  </si>
  <si>
    <t>1257875575</t>
  </si>
  <si>
    <t>26481552</t>
  </si>
  <si>
    <t>1083891201319817221</t>
  </si>
  <si>
    <t>1361918487711674369</t>
  </si>
  <si>
    <t>420281182</t>
  </si>
  <si>
    <t>42892161</t>
  </si>
  <si>
    <t>1036820306927788037</t>
  </si>
  <si>
    <t>573129546</t>
  </si>
  <si>
    <t>39540130</t>
  </si>
  <si>
    <t>1039571411881349120</t>
  </si>
  <si>
    <t>3092777644</t>
  </si>
  <si>
    <t>1451143112819085313</t>
  </si>
  <si>
    <t>1242574711470673924</t>
  </si>
  <si>
    <t>1171534496430252032</t>
  </si>
  <si>
    <t>1422588649720451076</t>
  </si>
  <si>
    <t>1367961319454949378</t>
  </si>
  <si>
    <t>1164286263496761346</t>
  </si>
  <si>
    <t>863794081650135040</t>
  </si>
  <si>
    <t>1343217806075195397</t>
  </si>
  <si>
    <t>1441132131204227076</t>
  </si>
  <si>
    <t>376383821</t>
  </si>
  <si>
    <t>1215640232994988032</t>
  </si>
  <si>
    <t>1157347992783020032</t>
  </si>
  <si>
    <t>350442106</t>
  </si>
  <si>
    <t>196510907</t>
  </si>
  <si>
    <t>2899345444</t>
  </si>
  <si>
    <t>1115334482788265985</t>
  </si>
  <si>
    <t>825365041268523008</t>
  </si>
  <si>
    <t>890413020</t>
  </si>
  <si>
    <t>1394210347846938627</t>
  </si>
  <si>
    <t>970516399</t>
  </si>
  <si>
    <t>1744456844</t>
  </si>
  <si>
    <t>14499829</t>
  </si>
  <si>
    <t>957668367627948033</t>
  </si>
  <si>
    <t>802090959425114112</t>
  </si>
  <si>
    <t>861954809448062976</t>
  </si>
  <si>
    <t>42638972</t>
  </si>
  <si>
    <t>758988367</t>
  </si>
  <si>
    <t>329503437</t>
  </si>
  <si>
    <t>1948704752</t>
  </si>
  <si>
    <t>201647685</t>
  </si>
  <si>
    <t>1427626919286218754</t>
  </si>
  <si>
    <t>1292208426819506176</t>
  </si>
  <si>
    <t>1084160252273139714</t>
  </si>
  <si>
    <t>1262207102212362240</t>
  </si>
  <si>
    <t>1264846639078014979</t>
  </si>
  <si>
    <t>701961594</t>
  </si>
  <si>
    <t>3055692035</t>
  </si>
  <si>
    <t>Stand up -koomikko. Käsikirjoittaja. Tuottaja. Videopelinörtti, tiede- ja luontofriikki. / Stand up comedian. Screenwriter. Producer. Geek.</t>
  </si>
  <si>
    <t>Freedom</t>
  </si>
  <si>
    <t>Korona-virus seurantaa Suomessa.
Tägää #koronafi</t>
  </si>
  <si>
    <t>Kantasuomalainen. 
100% nainen ja hetero. 
Aina oikeaa mieltä, ihan kaikesta. 
Iso arvostus: SoldiersOfOdin.
Tiukkapipoinen ja isopalkkainen sosiaalitantta.</t>
  </si>
  <si>
    <t>Blogging about Finland's crime case of the century, and (mostly but not only) about Finnish police corruption. RT's appreciated. Thanks!</t>
  </si>
  <si>
    <t>MD, Finland´s leading dissident in Medicine and Nutrition</t>
  </si>
  <si>
    <t>All views are my own except those that I have nicked from far cleverer people. Talk is cheap, action speaks louder than words. Politics and ideology agnostic.</t>
  </si>
  <si>
    <t>Founder and CEO, Imperare Oy</t>
  </si>
  <si>
    <t>Toimari @SysartOy #johtaminen #digitalisaatio #politiikka #sijoittaminen #golf #BorussiaDortmund</t>
  </si>
  <si>
    <t>Investor with ERP-Invest Oy. No filter. Occasional comic._xD83C__xDDEB__xD83C__xDDEE__xD83C__xDDFA__xD83C__xDDF2__xD83C__xDFAE__xD83D__xDCF8__xD83C__xDFD2__xD83D__xDCC8__xD83D__xDCB2_ Free TV purchase advice.</t>
  </si>
  <si>
    <t>Klassinen liberalismi ja hyvinvointivaltio kohtaavat @leanvaltio.
#verotus #asuminen #politiikka #leanvaltio #persut
Tweets_xD83C__xDDEB__xD83C__xDDEE_ email: l..o|at|gmail</t>
  </si>
  <si>
    <t>Information and communication sciences.</t>
  </si>
  <si>
    <t>RSN: Voinpahoin × he/him × Not actually tweeting, just replying to tweets ⚝</t>
  </si>
  <si>
    <t>Yle Uutisten tili tarjoilee päivän pääuutiset. 
Uutiset Suomesta ja maailmalta nopeasti ja luotettavasti https://t.co/lzeiSv8QpD</t>
  </si>
  <si>
    <t>Sometimes it's the very people who no one imagines anything of who do the things no one can imagine.</t>
  </si>
  <si>
    <t>Yhteiskunnan mädännäisyys, historiallisten lentokoneiden entisöinti, veneet, vanhat autot.</t>
  </si>
  <si>
    <t>I am just a poor guy but very happy and nice.</t>
  </si>
  <si>
    <t>Suomen luontoa rakastava  sananvapautta puolustava nainen._xD83D__xDEBA_☦️</t>
  </si>
  <si>
    <t>Kristitty ajattelija,isoäiti, jälleennäkemistä odottava leski. Kiinnostunut liikaa vähän kaikesta. Asiat näyttävät aina mahdottomilta, kunnes ne on hoidettu!</t>
  </si>
  <si>
    <t>IS on Suomen suurin uutismedia, joka tarjoaa puheenaiheita, jotka yhdistävät meitä suomalaisia.
IS – Mistä puhutaan.</t>
  </si>
  <si>
    <t>Professor of Health law @helsinkiuni, Director of Diagnostic services in Helsinki University Hospital #HUS, @Eu_health expert panel &amp; #sote Views are my own.</t>
  </si>
  <si>
    <t>How Do You Deal With Painful Truths? Left vs. Right #4 https://t.co/EE6OiKBuFA</t>
  </si>
  <si>
    <t>Lääkintöneuvos, joka neuvoo vaikkei kukaan sitä edes ehtisi toivoa ja twiittailee asiasta ja sen vierestäkin.</t>
  </si>
  <si>
    <t>Truth, only truth and nothing but a truth. Aktivisti Itä-Helsingistä inhimillisen päihdepolitiikan puolesta, valheita vastaan. Rakkaudesta Lajiin since 1995</t>
  </si>
  <si>
    <t>things i say might be true or false. i let you decide.</t>
  </si>
  <si>
    <t>Intermitted fasting, and deeper breathing stopped my regular infections. Compeletly healthy since. It's free, so it is called a myth.</t>
  </si>
  <si>
    <t>Sijoituskirjailija, yrittäjä (https://t.co/slOWUL6K9w) - uusin kirja Osakesijoittajan maailmanvalloitus, alekoodi ALE2021 https://t.co/wfrx32uZMm</t>
  </si>
  <si>
    <t>Chairman of Marimekko and Mannerheim Foundation. Founder of https://t.co/MBDgoRyMGG. Sanoma board. Finnish Ph.D., 3 x CEO and 4 x dad on a mission._xD83C__xDDEB__xD83C__xDDEE_</t>
  </si>
  <si>
    <t>Talousliberaali. Arvokonservatiivi. Aina riskitietoisuus edellä. Seuraan lähinnä hyödyllisiä tilejä. Keskustelen tai tykkäilen harvemmin. #talous #politiikka.</t>
  </si>
  <si>
    <t>Ilta on ihmisessä ja aamu on outo. Illasta aamuun on ihmisen souto. Illasta aamuun on yöllistä matkaa. Jos jaksat uskoa, jaksat jatkaa.</t>
  </si>
  <si>
    <t>peruskristitty vapauden puolesta _xD83C__xDDEB__xD83C__xDDEE_</t>
  </si>
  <si>
    <t>Valkoinen heteromies ja koronadenialisti. Ylpeä foliohattu.</t>
  </si>
  <si>
    <t>Twiitit omia. Piraattipuolueen rivijäsen. Perustin muinoin Muutospuolueen, jolla oli pj-kaudellani yksi kansanedustaja, mutta EN OLE IKINÄ ollut PS:n jäsen.</t>
  </si>
  <si>
    <t>Riippumaton data-arkkitehti ja ekosysteeminen syväluotausinnovaattori.
Kutsumuksena aidon hyvän elämän edellytysten ja isänmaamme turvaaminen❣</t>
  </si>
  <si>
    <t>Radikaali kansallismielinen ja Sinimustan puolueen jäsen.</t>
  </si>
  <si>
    <t>_xD83C__xDDEB__xD83C__xDDEE_</t>
  </si>
  <si>
    <t>Nationalisti, arvokonservatiivi, lempivärit sininen ja valkoinen.</t>
  </si>
  <si>
    <t>Politiikkaa seuraava, kantasuomalainen etuoikeutettu setämies. Harrastaa purjehdusta, shakkia ja fuugien säveltämistä.</t>
  </si>
  <si>
    <t>Elokuvaosuuskunta Siperia. Studio Krypta. Agendadoc.</t>
  </si>
  <si>
    <t>Kristitty, joka vastustaa EU :ta, globalismia, holtitonta maahantunkeutumista, islamia ja rasismia. Vastustan myös geenimuokkausta. Ja grafeenioksidia.</t>
  </si>
  <si>
    <t>✨EROON OIREISTA -kirja nyt kaupoissa!✨ Architect. Indoor Air Specialist. Philosopher. Creator of the Free to Heal Method. Writer.</t>
  </si>
  <si>
    <t>Golfing haematologist</t>
  </si>
  <si>
    <t>Still young enough to get excited about new things. Old enough  to know that new is not always better. An experienced product manager for lubricants &amp; chemicals</t>
  </si>
  <si>
    <t>Ihminen</t>
  </si>
  <si>
    <t>Disinterested</t>
  </si>
  <si>
    <t>Suurimmaksi osaksi realismia</t>
  </si>
  <si>
    <t>Espoolainen diplomi-insinööri, Perussuomalaisten kaupunginvaltuutettu. Ehdolla Länsi-Uudenmaan aluevaaleissa 23.1.2022.</t>
  </si>
  <si>
    <t>Yhteiskunnallinen ja poliittinen ajankohtais- ja satiiriblogi, joka kannattaa tervettä järkeä, yksilönvapauksia, sananvapautta, tasa-arvoa ja markkinataloutta.</t>
  </si>
  <si>
    <t>Tabispanda for Life - mielipiteet ovat omiani</t>
  </si>
  <si>
    <t>I am curious _xD83E__xDDD0_</t>
  </si>
  <si>
    <t>Vapaa kirjoittaja.</t>
  </si>
  <si>
    <t>Photographer
5c5c4031
I define myself as sane, the world has gone too crazy.</t>
  </si>
  <si>
    <t>Harmi, et löytänyt täältä mitään ammuksia vastalauseeseesi.</t>
  </si>
  <si>
    <t>ent. investointipankkiiri, sijoittaja,kiinnostunut luonnontieteistä ja ylipäätään kaikesta.5 lasta.</t>
  </si>
  <si>
    <t>Software developer, philosopher, composer, creative generalist and Board member of Pirate Party at Southwest Finland</t>
  </si>
  <si>
    <t>Tavallinen suurperheen äiti.</t>
  </si>
  <si>
    <t>17-year old guy interested in sports &amp; investing</t>
  </si>
  <si>
    <t>Helsingin kaupunginvaltuutettu (PS). Asiat tärkeysjärjestykseen.
https://t.co/5Gx0LtkTwa</t>
  </si>
  <si>
    <t>Freedom of speech _xD83C__xDDEB__xD83C__xDDEE_✝️
follow4follow/ SEURAA NIIN SEURAAN 100% NÄKYVYYTTÄ TWIITEILLESI!! _xD83D__xDCAF_⬆️_xD83D__xDD25_</t>
  </si>
  <si>
    <t>Maahanmuuttokriittinen kansanliike pyrkii muuttamaan maahanmuuttopolitiikkaa poliittisin keinoin. Ilman vihapuhetta!</t>
  </si>
  <si>
    <t>Say no to racism! _xD83D__xDC4A_ Freedom of speech.</t>
  </si>
  <si>
    <t>Juuri nyt twiittaan koronasta, jotta suomalaiset pysyisivät terveempinä. DI. Johdon konsultti.</t>
  </si>
  <si>
    <t>an information technology or telecommunications professional whose expertise is required to provide an essential or emergency response to threat... myAlterEgo</t>
  </si>
  <si>
    <t>Aspera ad astra</t>
  </si>
  <si>
    <t>Tuhannesti pilvien ylle. Kirkas aurinko, kuulas tähtitaivas, kylmyys, rauha..</t>
  </si>
  <si>
    <t>Professor of economics in Turku University; Turun yliopiston taloustieteen professori (emeritus)</t>
  </si>
  <si>
    <t>Visual Modeler.</t>
  </si>
  <si>
    <t>Expat, quite conservative, biological woman (XX), a music lover  _xD83C__xDDF3__xD83C__xDDF4__xD83C__xDDEB__xD83C__xDDEE_</t>
  </si>
  <si>
    <t>ex-airforce</t>
  </si>
  <si>
    <t>Toimittaja, juontaja, motivaatioluennot, esiintymistaidon koulutus, standup-komiikka. tapio.suominen64@gmail.com tai 0405535404</t>
  </si>
  <si>
    <t>Totuusmyönteinen foliohattu. 5G yhteensopiva.
Mää / Sää
_xD83C__xDDEB__xD83C__xDDEE_</t>
  </si>
  <si>
    <t>Northernmost MP of the finnish parliament. King in the North. Defender of Lapland, Catalonia, Scotland and Taiwan.
Tel. +358 40 143 8941
https://t.co/WwCdMpexpZ</t>
  </si>
  <si>
    <t>Kiinteistönvälittäjä,LKV. IG: @jethrorostedt</t>
  </si>
  <si>
    <t>#FreeAssangeNOW</t>
  </si>
  <si>
    <t>Myynnin ja markkinoinnin johtaminen, @divestgroupoy #johtaminen #myynti</t>
  </si>
  <si>
    <t>Toiminnan mies</t>
  </si>
  <si>
    <t>Terveydenhuoltoalan ammattilainen joka ihmettelee maailman menoa _xD83C__xDDEB__xD83C__xDDEE_</t>
  </si>
  <si>
    <t>Napapiirin paremmalta puolen #Kittilä
Motto: Selittämällä pahenee
Sitaatti: Ihminen on laimentunut nuori
Pohjolan #Vakuutusasiamies
#hyvävuokranantaja</t>
  </si>
  <si>
    <t>”köyhien lääkäristä sairaalajohtajaksi - ja kansanedustajaksi (SDP)”.                 LL, VTM, erikoislääkäri</t>
  </si>
  <si>
    <t>ICH Clinical Hypnotherapist, Meditator, teacher, thinkerforever, ”Mitäs minä täällä, kunhan katselen vain elämästä uteliaana..!”</t>
  </si>
  <si>
    <t>Mies, man, Finland, Europe. Pilvien yläpuolla on kirkkaampaa. In vino veritas. Eteenpäin on ihmisen mieli.</t>
  </si>
  <si>
    <t>A person living in this high-tech and material media world. MA digit cult.
Interested in digital phenomenons, arts and culture, society, humans, history&amp;future.</t>
  </si>
  <si>
    <t>Lifeform @Earth. PhD, adjunct prof @helsinkiuni Veterinary Biosciences, board @FinnSocImm; studying early host-microbe interactions. Father, scout, writer.</t>
  </si>
  <si>
    <t>Tech enthusiast, amateur musician and dj. Husband and dad. Deep thinker, questioning a lot of stuff. #DnB as a heart.#HipHop #808 #Music.</t>
  </si>
  <si>
    <t>I'm a thinker, I'm a dancer, I'm a midnight talker.</t>
  </si>
  <si>
    <t>MD, PhD. Libertarian health care professional and serial entrepreneur. Anti-ESG investor. Passion for ethics and human rights.</t>
  </si>
  <si>
    <t>Torjutaan covidia ajoissa, hennoilla keinoilla aloittaen, niin ei ajauduta rankimpiin keinoihin.
FFP2, ilmanvaihto, tuuletus, etätyö ym.</t>
  </si>
  <si>
    <t>Kun on riittävän tylsää, niin provosoin tahallaan. Jos ei ole tylsää, niin olen todennäköisesti jossain muualla, kuin täällä.</t>
  </si>
  <si>
    <t>Varavaltuutettu, perussuomalainen, isä ,työmies, sanavalmis, crossfit ja urheilu.</t>
  </si>
  <si>
    <t>ylilääkäri, vaksinologi, kansainvälisen terveydenhuollon ja matkalääketieteen erityispätevä (SLL). WHO SAGEn jäsen.</t>
  </si>
  <si>
    <t>Director Health Security @THLorg Finland. @ECDC_EU AF member, Chair @ESA Planetary Protection Working Group. Opinions own but burn for Public Health</t>
  </si>
  <si>
    <t>Mindfuck-19
Panmedia
Flunssanpelko
Scamdemic
Plandemic
Fear of the flu</t>
  </si>
  <si>
    <t>We need to resist this madness - VKK, MAGA, FIXIT, FREEDOM</t>
  </si>
  <si>
    <t>Journalism, Communications, Photography, Education (RT not an endorsement)</t>
  </si>
  <si>
    <t>Kasvatuksen ja koulutuksen apulaispormestari</t>
  </si>
  <si>
    <t>_xD83C__xDF7F_Living i n t e r e s t i n g times my frens. # 2 4
@ J E a g l e R i v e r 1 7 on G A B    1 1 : 1 1</t>
  </si>
  <si>
    <t>Ylen Eurooppa-kirjeenvaihtaja Berliinissä. Europe Correspondent for the Finnish Broadcasting Company @yleuutiset. Based in Berlin.</t>
  </si>
  <si>
    <t>Informaatiofriikki. Politiikan sekakäyttäjä. Shake well and serve chilled.</t>
  </si>
  <si>
    <t>...</t>
  </si>
  <si>
    <t>Open your eyes and cover your ears. When you ignore the lies you'll see the truth.
$paike</t>
  </si>
  <si>
    <t>- control group -</t>
  </si>
  <si>
    <t>VC, KCB, KCIE</t>
  </si>
  <si>
    <t>Palkkatyöläisten ja yrittäjien, maalaisten ja kaupunkilaisten etuja ajava sosiaalinen ja demokraattinen, tasa-arvoa ja luontoa kunnioittava perussuomalainen...</t>
  </si>
  <si>
    <t>(Ilmasto)poliittisesti epäkorrekteja mielipiteitä.
Motto: Kenelläkään ei ole yksinoikeutta tietoon, tieteeseen ja totuuteen.
#sananvapaus #freedomofspeech</t>
  </si>
  <si>
    <t>PhD, MEP 1999-2014, Ecomodernist, Philosopher, Board Member, Steering Cttee member of ICEF. EESC/CCMI. Serious airline sick bag collector. Kokoomus/EPP</t>
  </si>
  <si>
    <t>_xD83C__xDDE7__xD83C__xDDFB__xD83C__xDDEB__xD83C__xDDEE__xD83C__xDDF1__xD83C__xDDF7__xD83C__xDDEE__xD83C__xDDF1_</t>
  </si>
  <si>
    <t>En kannusta enkä kehota ketään mihinkään. Jokainen vastaa omista päätöksistään.</t>
  </si>
  <si>
    <t>Olen erityinen</t>
  </si>
  <si>
    <t>❤️ _xD83C__xDDEB__xD83C__xDDEE_ #XVII _xD83C__xDF19_</t>
  </si>
  <si>
    <t>#Secretinformation - Finland's extremely patriotic family from 17th century Finland, evangelicalLutheran, pro-democracy, #Sexualcrimehunter, anti-terrorist.</t>
  </si>
  <si>
    <t>Isä, aviomies, setämies, autoileva lihansyöjähetero ja kaiken lisäksi kristitty. Siinä sitä on monille sulateltavaa, kun minäkin olen silti ihminen _xD83D__xDE0A__xD83E__xDD17_</t>
  </si>
  <si>
    <t>And the truth will set us free! ~ Ja totuus tulee vapauttamaan meidät!</t>
  </si>
  <si>
    <t>Chief-Editor
https://t.co/OBUoF6uo3p - UMV-Lehti
https://t.co/7tndmXvCYd - Verkkomedia
https://t.co/DUuXiYteKv - Russia Main News
Patriotic Network
https://t.co/oKHXy2zLtV
https://t.co/aa5BB8cEMa</t>
  </si>
  <si>
    <t>Oikeussosiologian ja kriminologian dosentti. 
Adjunct professor in sociology of law and criminology.</t>
  </si>
  <si>
    <t>https://t.co/CpcmirWP0e Co-Founder, https://t.co/91PetXLFlv emulator founder, hardcore sw/hw reverse engineer. My own boss. Deputy City Councilor of Helsinki.</t>
  </si>
  <si>
    <t>Ilkka Tiainen, Producer, director, media entrepreneur, farmer CO2 negative human being (-50tons CO2/year). https://t.co/JNNDUNMdwR</t>
  </si>
  <si>
    <t>Vallankumous syö aina omat Eskonsa, sanoi Heikki Ketola Twitterissä</t>
  </si>
  <si>
    <t>Käyttäytymisanalyytikko &amp; kirjoittaja. Askel lähemmäksi totuutta:https://t.co/Opc4IHGvi8 Tuplamaisteri. Vanhan talon kunnostaja. Pro vapaus. Yksityistili.</t>
  </si>
  <si>
    <t>https://t.co/4eUgVZEujU
sananvapauden ja itsenäisen isänmaan tukijoille. #FIXIT #kansallisromantikko #itsenäisyys #sananvapaus #isänmaa</t>
  </si>
  <si>
    <t>Aluevaali2022 -ehdokas.
Vaalitukea voi antaa: Osuuspankki FI25 5297 0020 1749 01
Kiitos tuestanne :)</t>
  </si>
  <si>
    <t>Lääkealan turvallisuus- ja kehittämiskeskus Fimea. 
Ajankohtaisia uutisia Fimeasta.</t>
  </si>
  <si>
    <t>Terveyden ja hyvinvoinnin laitos                            
THL  Finnish Institute for Health and Welfare</t>
  </si>
  <si>
    <t>Tervetuloa seuraamaan! Linjoilla arkisin klo 10–16, viikonloppuisin tarpeen mukaan. Vi betjänar också på svenska.
#kohtaaminen #edelläkävijyys #yhdenvertaisuus</t>
  </si>
  <si>
    <t>#dialektiikka #keskustelu #DefundYLE #PuhdasVerinen #perustuslaki #natsipassi #fixit</t>
  </si>
  <si>
    <t>Kansanedustaja (PS), eduskuntaryhmän ja suuren valiokunnan 1. vpj. Lappeenrannan kaupunginvaltuuston ja Etelä-Karjalan maakuntahallituksen 2. vpj.</t>
  </si>
  <si>
    <t>Deus Protector Noster, Porin vaakunassa. Aitoa totuutta, moraalia ja oikeudenmukaisuutta. Konservatiivistä, tutkivaa, harrastelevaa journalismia. #ollihakala</t>
  </si>
  <si>
    <t>Helsinkiläinen kansanedustaja (KOK). Eduskuntaryhmän vpj. kaupunginvaltuutettu &amp; KH jäsen. THM. Kolmen nuoren äiti. #Itämeri #JärkiJaTunteet</t>
  </si>
  <si>
    <t>Nature | Tradition | Freedom | Civil Rights | Truth</t>
  </si>
  <si>
    <t>Aluevaaliehdokas 23.1.2022, (Vantaa-Kerava)
Reformi-studion vastaava päätoimittaja, (Editor in Chief)
Tukitili: FI33 1470 3500 8463 43
https://t.co/P5j0A0Z20t</t>
  </si>
  <si>
    <t>Jeesukseen uskova, totuuden/vapauden puolesta. NWOeliitin valta alas. Suomi eroon EUsta _xD83C__xDDEB__xD83C__xDDEE_Kokeelliset GMOpiikit on aiheuttaneet jo tuhansia vakavia haittoja.</t>
  </si>
  <si>
    <t>KM opettaja, eläkkeellä, kyläpoliitikko Riihimäen valtuutettu. Kirjoittelen ja luen paljon. Kiinnostunut yhteiskunnallisesta vaikuttamisesta. @aluevaaliehdokas</t>
  </si>
  <si>
    <t>kriittisesti asioihin suhtautuva bobinamies</t>
  </si>
  <si>
    <t>Asiakaspalvelupäällikkö,Kaupunginvaltuutettu, Valtuuston 1.varapuheenjohtaja.</t>
  </si>
  <si>
    <t>Ope, kirjailija -  Lärare, författare -   Teacher, author
#tommikinnunen</t>
  </si>
  <si>
    <t>mestoilla , Helsinki , Finland</t>
  </si>
  <si>
    <t>Journalismia ympäristöstämme.    Finnish botanist, photographer, journalist,educator, science enthusiast. Kiltti pieni jätti.</t>
  </si>
  <si>
    <t>Suomea johtaa rikollisjoukko
Ei maskia
Ei Myrkkypiikkiä
Ei rokotepassia
Ei kaikkeen tarvitse suostua
VKK
Valta kuuluu kansalle
KantaSuomalaiset yhdistykää</t>
  </si>
  <si>
    <t>Father of 3, reader of thousands of books, Christian and proud of it. Can discuss much anything but expect crushing logic and little room for feely good stuff.</t>
  </si>
  <si>
    <t>Father &amp; Husband, Christian, Patriot, Nationalist, B.Eng.(IT), KTJ, The Finns member, General Manager, Suomen Sisu.</t>
  </si>
  <si>
    <t>Perusoikeuksien ja sananvapauden puolesta. Minua ja läheisiäni ette piikitä kokeellisella injektiolla. Ei koronapasseille. Perustuslaki kunniaan._xD83C__xDDEB__xD83C__xDDEE_</t>
  </si>
  <si>
    <t>Hän, nuorempi väestönosa saa puhutella myös 'Te'</t>
  </si>
  <si>
    <t>_xD83D__xDC9A_:_xD83C__xDF32__xD83E__xDDA2__xD83E__xDDAE_  _xD83D__xDCF7_
Kerron mielipiteeni vaikka sitä ei aina kysyttäisikään.
Kysyn jos en jotain ymmärrä. Kyseenalaistan. Toivon parasta mutta varaudun pahimpaan.</t>
  </si>
  <si>
    <t>Palvelupäällikkö @varma_tweet Ammattina johtaminen, Intohimona työssä jaksamisen ja työkyvyn ylläpito. Terveydenedistäjä. Siviilissä suunnistus ja perhe</t>
  </si>
  <si>
    <t>#keskusta Maaseudulle juurtunut puutarha ja huonekasvihullu. Äiti, yrittäjä ja onnistuja. Sivistyslautakunnassa. Vähän olen beagalehullu myös._xD83C__xDF40__xD83E__xDD2D_She_xD83C__xDF40_</t>
  </si>
  <si>
    <t>Pessimisti, realisti, feministi, autisti, insinööri, kukkahattu.
Vimmainen oikeuden ja oikeudenmukaisuuden puolestapuhuja.</t>
  </si>
  <si>
    <t>Hän/Hänen</t>
  </si>
  <si>
    <t>☮_xD83C__xDF32__xD83E__xDD3F__xD83D__xDEB2_</t>
  </si>
  <si>
    <t>Betting, sports and opinions. 
Soccer, Icehockey, baseball, tennis...
Mostly in Finnish.</t>
  </si>
  <si>
    <t>Just relax</t>
  </si>
  <si>
    <t>GBD-aktivisti, vakavasti otettava asiantuntija. Letitrip parodiahahmo. a.k.a p*skanjauhaja. a.k.a. THL:n aktivoima botti</t>
  </si>
  <si>
    <t>Kommentointia napapiirin tuntumasta, kantasuomalainen</t>
  </si>
  <si>
    <t>isänmaallinen alkuasukas</t>
  </si>
  <si>
    <t>Trans-rokotettu. Homonationalistinen gansteri. #Jesuis Trump. This might be my final form.  _xD83D__xDC38__xD83D__xDC1F_ _xD83D__xDC4C__xD83D__xDC4C__xD83C__xDFFF__xD83D__xDC4C__xD83C__xDFFB__xD83C__xDDEB__xD83C__xDDEE__xD83D__xDCAF_ 5⃣ _xD83E__xDDF1_</t>
  </si>
  <si>
    <t>Toimittaja / Journalist. Retweets are not endorsements, but sometimes their intent is to provoke. Get over it.</t>
  </si>
  <si>
    <t>Nokkelimmat pokkelimmat tajuaa varmaan että kuka se täällä. Vanha profiili hävisi. Luke,use force! Sydän vasemmalla,ajatus oikealla. 
_xD83E__xDD1F_Salaliittoerootikko _xD83E__xDD1F_</t>
  </si>
  <si>
    <t>aka cortezz</t>
  </si>
  <si>
    <t>Selostaja ja perheenisä. Olevinaan hauska.
Caster and family man. Almost funny sometimes.</t>
  </si>
  <si>
    <t>Digital Artist, Photographer - also known as @isogonemusic and Loadus. I'm the guy your art teacher warned you about.</t>
  </si>
  <si>
    <t>_xD83C__xDDEB__xD83C__xDDEE_ ✨Politically incorrect. ❤️_xD83D__xDC4B_ ✨✨ ✨✨Puhun aiheista, joista ei saa puhua. _xD83C__xDF7F_✨✨Institutionaalisen korruption aika on OHI. ✨✨ _xD83E__xDD2B_ Revealing #hyshysvointivaltio</t>
  </si>
  <si>
    <t>Työssä ad 2020. M.D. Kaappipersu taidan olla, asiat riitelee. Koronarokotettu x2. FFP2-3 maski käytössä 2/2020 alkaen.</t>
  </si>
  <si>
    <t>Olen mikä ole enkä muuksi muutu .</t>
  </si>
  <si>
    <t>#FreedomFlu
#LetsGoBrandon
#SaveAmerica</t>
  </si>
  <si>
    <t>Väsynyt lepäilijä</t>
  </si>
  <si>
    <t>insinörtti (RF), kahden lapsen äiti ja yleinen elämänmenon hämmästelijä</t>
  </si>
  <si>
    <t>Sähköinen liikenne, sijoittaminen. Ulkosuomalainen_xD83C__xDDE8__xD83C__xDDED__xD83C__xDDEB__xD83C__xDDEE_ Ei anonyymi. Tweets without work context. EV, investing.</t>
  </si>
  <si>
    <t>vice president
#Rokottamaton</t>
  </si>
  <si>
    <t>Tyhmyyttä vastaan.</t>
  </si>
  <si>
    <t>ICU &amp; Lung Doc, Teacher/Researcher. Co-Developer of effective, evidence/expertise-based COVID Rx protocols with the giants of the FLCCC:https://t.co/c4BIlA0FoW</t>
  </si>
  <si>
    <t>Cerebrovascular neurosurgeon. Head of Section. A/Prof. CIO. Speaker. Oldtimer ice hockey player. Helsinki Uni Hospital_xD83C__xDDEB__xD83C__xDDEE_</t>
  </si>
  <si>
    <t>Tuplamaisteri. Sana hallussa, selkä suorassa, katse kohti Taivasta. Twiitit omia. _xD83D__xDC26_</t>
  </si>
  <si>
    <t>Böcker är livet. #healtheconomics #laboureconomics #laboreconomics #economics #econometrics #socialscience #JSBE #JYUnique #freepetri</t>
  </si>
  <si>
    <t>Privacy professional, FLOSS user amateur musician, sailing lover, dad, husband.</t>
  </si>
  <si>
    <t>”In politics, nothing happens by accident. If it happens, you can bet it was planned that way” - Franklin D. Roosevelt -</t>
  </si>
  <si>
    <t>Vet Photographing Lapland, CEO of FaunaPharma</t>
  </si>
  <si>
    <t>Syön, nukun ja tsemppaan. Koalafikaatiot kunnossa. Otetaan hei ihan rauhassa. #otaiisisti</t>
  </si>
  <si>
    <t>_xD83C__xDDEB__xD83C__xDDEE__xD83C__xDDEB__xD83C__xDDEE_✝️⚓♥️_xD83C__xDDEB__xD83C__xDDEE__xD83C__xDDEB__xD83C__xDDEE_</t>
  </si>
  <si>
    <t>Eiköhän me koh­del­la kaikkia Suo­mes­sa samalla tavalla ja ta­sa-ar­voi­ses­ti.
Luotamme Suomeen! Aito kansanliike! Toivon polku! Talkoot! Korjausliike!</t>
  </si>
  <si>
    <t>Helluunen _xD83D__xDE0C_ Myös femakko lehmä, kuulemma _xD83D__xDE0E_
Itsenäinen Itsepäinen Ihmettelijä. INTJ. Miksi on hyvä sana.Fasistit&amp;rasistit blokataan.
Merlinin palvelija❤</t>
  </si>
  <si>
    <t>Tere</t>
  </si>
  <si>
    <t>Kantasuomalainen metsän omistaja, jonka juuret ovat Päijät-hämeessä.</t>
  </si>
  <si>
    <t>Social science and existential confusion. Doctoral candidate at @helsinkiuni. Retweet means I love you.</t>
  </si>
  <si>
    <t>_xD83C__xDF31__xD83D__xDD4A__xD83D__xDC9A_ Pyrkimys puheissa hyvään.</t>
  </si>
  <si>
    <t>Veikko is a rowing coach, rower and endurance enthousiast as well as a wannabe Wattbike rider and x-country skier.</t>
  </si>
  <si>
    <t>Minun nimeni on Riku ja minä olen sinun ystäväsi❣️
❣️#isä #ukki❣️ #juristi ⚖️ 
"Ab imo pectore." ❤️</t>
  </si>
  <si>
    <t>Asialinja, piikki lihan korvikkeessa. Periferia loving urban semi-nomad. Tilastokeskuksen pääjohtaja &amp; tohtori, usko tai ei! #Itä-Helsinki #Metsä #Työpyöräily</t>
  </si>
  <si>
    <t>kaoottinen, sujuvakynäinen maailmanparantajamimmi, she/her</t>
  </si>
  <si>
    <t>Gratitude's the Key. Not opposing old but building up new. I'm the creator &amp; her creation on unique trip on Earth. Listening the voice of my own heart only.</t>
  </si>
  <si>
    <t>For Reason and Enlightenment! Knowledge is limited, ignorance is infinite. Knowledge grows, but false information grows more.</t>
  </si>
  <si>
    <t>Nice-taistelija _xD83D__xDE45__xD83C__xDFFC_‍♀️_xD83D__xDC60__xD83D__xDC5C_ Mihinkään muuhun lokeroon en sitten mahdukaan. Don’t say I didn’t warn you._xD83D__xDE18_</t>
  </si>
  <si>
    <t>kuuntele uusin hullun paperit -podcast! tuosta alhaalta! kiitos!</t>
  </si>
  <si>
    <t>Tärkeä ihminen (omaa kannustuspuhetta), jolla harvoin järkevää sanottavaa, silti kuvittelee, että on. Lapsia. ❤️ Valokuvaaja. Vaikea kahviaddiktio.</t>
  </si>
  <si>
    <t>Taideprojekti 2021: 'Koronavuosi meemeinä'. _xD83D__xDD8C_ Aimo annos poliittista satiiria, ripaus muita uutisia. Meemit tuotetaan lähes reaaliajassa uutisten kanssa.</t>
  </si>
  <si>
    <t>Twitter asiantuntija</t>
  </si>
  <si>
    <t>_xD83C__xDDEB__xD83C__xDDEE_The Truth Is Learned, Never Told _xD83C__xDDEB__xD83C__xDDEE_ Sheep No More, Sheep Know More _xD83D__xDD25_</t>
  </si>
  <si>
    <t>Äiti kolmelle, vaimo, uranainen, tohtorikoulutettava. Tarvitsemme oik/vas haastamaan toisiaan argumenteilla, jotta täällä olisi hyvä elää.</t>
  </si>
  <si>
    <t>Rakastan vapautta ja luontoa, kiinnostukseni kohteita yhteiskunnalliset asiat sekä terveys- ja hyvinvointi. Lisäksi olen puoliso, äiti ja mummi.</t>
  </si>
  <si>
    <t>Tamperelainen HTK &amp; tradenomi. Politiikka, talous, historia, urheilu, sijoittaminen. Sananvapauden kannattaja. Konservatiivi, kristitty, suomalainen. We/Us/Our</t>
  </si>
  <si>
    <t>Interested in (value)investing, nuclear power, politics, navy, environment. Retweeting articles of interest and the occasional tweet to friends.</t>
  </si>
  <si>
    <t>Aina uutta.</t>
  </si>
  <si>
    <t>During office hours engaged with warehouse logistics. Avid photographer at off hours, keen reader of digital marketing (promotion, advertising, sales, etc).</t>
  </si>
  <si>
    <t>Otan kantaa ajankohtaisiin asioihin apostolisena kristittynä luotettavien Raamatunkäännösten avulla.  Olen ihminen! En eläin, kuten evolutionistit ja humanistit</t>
  </si>
  <si>
    <t>Hän
Saa mut laulamaan hän..._xD83C__xDFB5_
Paskanjauhajien painajainen.</t>
  </si>
  <si>
    <t>Totuuden etsijä. Truth Seeker</t>
  </si>
  <si>
    <t>Strict motorcyclist, and a warm friend of old cars, building projects, grilled meat and Malbec</t>
  </si>
  <si>
    <t>Maanläheisesti - also in english - PATRIOT - AWAKE</t>
  </si>
  <si>
    <t>#suomileaniksi
Vähittäiskaupan ammattilainen ja klassinen liberaali</t>
  </si>
  <si>
    <t>Sarjayrittäjä Vantaalta. Olen liberaali siinä merkityksessä että kukin tehköön mitä haluaa kunhan maksaa omat tekemisensä ihan itse. Yksityisautoilun kannattaja</t>
  </si>
  <si>
    <t>Raskasteollisuusmies.</t>
  </si>
  <si>
    <t>Kansanedustaja, äiti, mummu, TkL, kirjailija. Green Member of Parliament, Finland, grandmother, writer, Licentiate of Technology (electrical power engineering).</t>
  </si>
  <si>
    <t>Researcher of nature science, truth seeker, anti-communism, anti-totalitarianism, member of #WhistleblowerMovement &amp; #TheNewFederalStateofChina</t>
  </si>
  <si>
    <t>_xD83C__xDDEB__xD83C__xDDEE_ _xD83C__xDDFA__xD83C__xDDF8_ GENESIS 27:28 ”May God give you of heaven's dew and of earth's richness – an abundance of grain and new wine.”</t>
  </si>
  <si>
    <t>Omilla aivoilla ajatteleva, pelko propagandalla valeltujen kansalaisten väsymätön herättelijä.</t>
  </si>
  <si>
    <t>NO vaccine passport!
- antivax-person-
Kotimaa &amp; perhe♥️
_xD83C__xDDEB__xD83C__xDDEE_VKK_xD83C__xDDEB__xD83C__xDDEE_
-Blokkaa provot-
Haittamaahanmuutto jurppii.
Suomi suomalaisille.</t>
  </si>
  <si>
    <t>Kotirouvan alter egon seikkailuja. Transvaccinated.</t>
  </si>
  <si>
    <t>Valta Kuuluisi kansalle
_xD83D__xDC4D__xD83C__xDDEB__xD83C__xDDEE__xD83D__xDC4C_</t>
  </si>
  <si>
    <t>Seassa junailija,politiikka kiinnostaa vielä,hitusesti.</t>
  </si>
  <si>
    <t>#PaskinHallitusIkinä kunnostautuu jatkuvasti verovarojen väärinkäytössä. #AntiViisikko
Ex-kokkari, nyt PS.</t>
  </si>
  <si>
    <t>User Experience Designer. Finnish blood, heart in the Netherlands. Design, games, psychology and feminism. Tweets mostly in _xD83C__xDDEB__xD83C__xDDEE_. She/her _xD83C__xDFF3_️‍_xD83C__xDF08_</t>
  </si>
  <si>
    <t>Vasemmistolainen</t>
  </si>
  <si>
    <t>Se/joku</t>
  </si>
  <si>
    <t>Kokoomusta ja rkp:tta äänestävä, yliopiston ja armeijan käynyt yrittäjä. Täällä sarkasmia ilman merkintää ja faktojen tarkistamista.</t>
  </si>
  <si>
    <t>Pienyrittäjä Helsingissä</t>
  </si>
  <si>
    <t>_xD83C__xDDEB__xD83C__xDDEE_  
KantaSuomalainen Pori</t>
  </si>
  <si>
    <t>We are the #UnitedNations’ health agency - #HealthForAll.
▶️ Always check our latest tweets on #COVID19 for updated advice/information.</t>
  </si>
  <si>
    <t>Sosiaali- ja terveysministeriön tuoreimmat uutiset | De senaste nyheterna från social- och hälsovårdsministeriet.</t>
  </si>
  <si>
    <t>Arvoni perusta on Koti, Uskonto ja Isänmaa.</t>
  </si>
  <si>
    <t>I tell the truth, even when I lie</t>
  </si>
  <si>
    <t>FM Teknillinen ja laskennallinen fysiikka
Mikään ei ole täysin varmaa, paitsi derivoituvan funktion jatkuvuus. 
Tieteellistä näyttöä asiasta ei kuitenkaan ole.</t>
  </si>
  <si>
    <t>Toimittaja, juontaja, kaiken kyseenalaistaja. Tilaa Youtube-kanavani!</t>
  </si>
  <si>
    <t>freelancer journalist</t>
  </si>
  <si>
    <t>En tullut hakemaan kavereita, vaan herättämään lampaita!</t>
  </si>
  <si>
    <t>Yhteiskunnallisen keskustelun ykkösareena. Jaamme mielenkiintoisia uutisia, blogitekstejä ja tviittejä.</t>
  </si>
  <si>
    <t>Kiitos kun pistäydyt. Don't shoot the messenger. #Politiikka #Yhteiskunta #Sananvapaus #Luonto Vihaan: #sensuuri #korruptio #fasismi #totalirismi</t>
  </si>
  <si>
    <t>Conductor, Composer and Teacher of conducting living in Kuopio, Finland. Saving Kanttila, the House of Freedom and Equality❤️</t>
  </si>
  <si>
    <t>Finnish professor in medicine. Focused on science and understanding of scientific findings. Tweets both in Finnish and English. My Kardashian index 2.98.</t>
  </si>
  <si>
    <t>MTV Oy – viihdettä, uutisia &amp; elämyksiä▪️Mediaperheemme: @Maikkari @subsuomi @AVASuomi @CMoreFI @MTVUutiset @mtv_fi @SuomiAreena▪️Sisältöjen takana: #pöllöjengi</t>
  </si>
  <si>
    <t>Toimitusjohtaja @wwwMaRafi</t>
  </si>
  <si>
    <t>"There are two ways to be fooled. One is to believe what is NOT true;  the other to refuse to accept what IS true." - Søren Kierkegaard</t>
  </si>
  <si>
    <t>Tavis, ja vähän filosofi.</t>
  </si>
  <si>
    <t>I don't run because i'm a Derek and Dereks don't run.</t>
  </si>
  <si>
    <t>Faktat faktoina ja mielipiteet mielipiteinä.
Twitterissä on nimiMERKKI &amp; Profiilikuva. Se ei tarkoita oikeaa nimeä eikä pärstäkuvaa. Jos et usko, katso FAQ.</t>
  </si>
  <si>
    <t>Sisukas</t>
  </si>
  <si>
    <t>Jokaiseen mutkikkaaseen ongelmaan on ratkaisu, joka on yksinkertainen, suora, ymmärrettävä ja väärä. (H.L. Mencken)</t>
  </si>
  <si>
    <t>Käytännöllisen filosofian dosentti, kasvatuksen teorian ja tradition professori (emer.).</t>
  </si>
  <si>
    <t>Oulu</t>
  </si>
  <si>
    <t>Tukholma, Ruotsi</t>
  </si>
  <si>
    <t>Ulkomaat</t>
  </si>
  <si>
    <t>Stadi</t>
  </si>
  <si>
    <t>London</t>
  </si>
  <si>
    <t>Lives in Hamburg Germany</t>
  </si>
  <si>
    <t>Espoo, Suomi</t>
  </si>
  <si>
    <t>Helsinki, Finland</t>
  </si>
  <si>
    <t>Mikkeli, Suomi</t>
  </si>
  <si>
    <t>Tampere</t>
  </si>
  <si>
    <t>Suomi</t>
  </si>
  <si>
    <t>Suomi, Finland</t>
  </si>
  <si>
    <t>Finland</t>
  </si>
  <si>
    <t xml:space="preserve"> Suomi Finland</t>
  </si>
  <si>
    <t>Tampere, Suomi</t>
  </si>
  <si>
    <t>Quantum</t>
  </si>
  <si>
    <t>Tuusula, Suomi</t>
  </si>
  <si>
    <t xml:space="preserve">instagram @ mikaihamuotila  </t>
  </si>
  <si>
    <t>Helsinki, Suomi</t>
  </si>
  <si>
    <t>Iisalmi</t>
  </si>
  <si>
    <t>Helsinki</t>
  </si>
  <si>
    <t>Järvenpää, Suomi</t>
  </si>
  <si>
    <t xml:space="preserve"> N 77°14′23″ E 15°11′45″ </t>
  </si>
  <si>
    <t>Vantaa, Suomi</t>
  </si>
  <si>
    <t>United States</t>
  </si>
  <si>
    <t>Turku, Finland</t>
  </si>
  <si>
    <t>Alabama, USA</t>
  </si>
  <si>
    <t>Finland, Europe</t>
  </si>
  <si>
    <t>Lohja, Suomi</t>
  </si>
  <si>
    <t>Riihimäki, Finland</t>
  </si>
  <si>
    <t xml:space="preserve">Hämeenlinna </t>
  </si>
  <si>
    <t>Between Insanity and Outsanity</t>
  </si>
  <si>
    <t>Inari, Suomi</t>
  </si>
  <si>
    <t>aninkainen.fi,Turku</t>
  </si>
  <si>
    <t>Kaarina, Suomi</t>
  </si>
  <si>
    <t>Pihlajamäki</t>
  </si>
  <si>
    <t xml:space="preserve">3rd rock from the sun </t>
  </si>
  <si>
    <t>Helsinki Finland</t>
  </si>
  <si>
    <t>Planet earth - Scandinavia</t>
  </si>
  <si>
    <t>Earth</t>
  </si>
  <si>
    <t>Berlin, Germany</t>
  </si>
  <si>
    <t>Helsinki/Bxl/A'dam/Tokyo</t>
  </si>
  <si>
    <t xml:space="preserve">Suomi  </t>
  </si>
  <si>
    <t>Täällä jossain</t>
  </si>
  <si>
    <t xml:space="preserve"> s.Kouvola 80, Tampere-85 FI. </t>
  </si>
  <si>
    <t>Valencia, Spain</t>
  </si>
  <si>
    <t>Lugansk</t>
  </si>
  <si>
    <t>Planet Earth</t>
  </si>
  <si>
    <t>Seetal Region _xD83C__xDDE8__xD83C__xDDED_</t>
  </si>
  <si>
    <t>Lappeenranta</t>
  </si>
  <si>
    <t>Pori</t>
  </si>
  <si>
    <t>Vantaa, Finland</t>
  </si>
  <si>
    <t>Lahti, Suomi</t>
  </si>
  <si>
    <t xml:space="preserve">Riihimäellä. </t>
  </si>
  <si>
    <t>eura</t>
  </si>
  <si>
    <t>Turku</t>
  </si>
  <si>
    <t>Pargas,Finland</t>
  </si>
  <si>
    <t>Nurmijärvi, Suomi</t>
  </si>
  <si>
    <t>Suomussalmi</t>
  </si>
  <si>
    <t>Espoo, Finland</t>
  </si>
  <si>
    <t>Jyväskylä</t>
  </si>
  <si>
    <t>JKL, Finland</t>
  </si>
  <si>
    <t>Tampere, Finland</t>
  </si>
  <si>
    <t>Zurich, Switzerland</t>
  </si>
  <si>
    <t>Madison, WI</t>
  </si>
  <si>
    <t>Porvoo</t>
  </si>
  <si>
    <t>Kaarina, Finland</t>
  </si>
  <si>
    <t>Äkäslompolo, Finland</t>
  </si>
  <si>
    <t>Eurooppa</t>
  </si>
  <si>
    <t>Keski-Pohjanmaa, Suomi</t>
  </si>
  <si>
    <t>Imatra, Finland</t>
  </si>
  <si>
    <t>#MAANLAKIMAANinka</t>
  </si>
  <si>
    <t>- Gaia -</t>
  </si>
  <si>
    <t>Egentliga Finlands Frihets.</t>
  </si>
  <si>
    <t>Porvoo, Suomi</t>
  </si>
  <si>
    <t>Helsinki, Kamppi</t>
  </si>
  <si>
    <t>#mamu</t>
  </si>
  <si>
    <t>Helsingin Sanomat, Helsinki</t>
  </si>
  <si>
    <t>Turku, Suomi</t>
  </si>
  <si>
    <t>苏黎世戰友工作室 Zurich WB Creative</t>
  </si>
  <si>
    <t>Uusimaa, Suomi</t>
  </si>
  <si>
    <t xml:space="preserve">Finland </t>
  </si>
  <si>
    <t>Amsterdam, The Netherlands</t>
  </si>
  <si>
    <t>Suomi / Finland</t>
  </si>
  <si>
    <t>Geneva, Switzerland</t>
  </si>
  <si>
    <t>Puijon viärä puolj / Kuopio</t>
  </si>
  <si>
    <t>Heinola, Finland</t>
  </si>
  <si>
    <t>Kuopio, Finland</t>
  </si>
  <si>
    <t>Oulu, Suomi</t>
  </si>
  <si>
    <t>Open Twitter Page for This Person</t>
  </si>
  <si>
    <t xml:space="preserve">koomikkokivi
</t>
  </si>
  <si>
    <t>petri190722231
@jyrkikononen @SPihatto Eipä ole,
vaan ivermektiini. https://t.co/rHoMz9DGjG</t>
  </si>
  <si>
    <t xml:space="preserve">investorimagin1
</t>
  </si>
  <si>
    <t>koronafi
Näyttää silta että #Suomessa aiheutetaan
ihan tahalleen #koronakriisi taas
jälleen kerran hallituksen toimesta.
Miksi suomalaisilta rajoitetaan
pois #ivermektiini, mikä on saatavilla
ilman reseptiä useissa maissa,
joissa kansa ei kärsi koronasta.
#Rokonarokote ei ole ratkaisu.
https://t.co/xgrFFEx7zP</t>
  </si>
  <si>
    <t>iinamaki
Näyttää silta että #Suomessa aiheutetaan
ihan tahalleen #koronakriisi taas
jälleen kerran hallituksen toimesta.
Miksi suomalaisilta rajoitetaan
pois #ivermektiini, mikä on saatavilla
ilman reseptiä useissa maissa,
joissa kansa ei kärsi koronasta.
#Rokonarokote ei ole ratkaisu.
https://t.co/xgrFFEx7zP</t>
  </si>
  <si>
    <t>suskulondon
Ivermektiini pysäytti Koronan Japanissa.Miksi
ei Suomessa sitten ? https://t.co/JVVbxikzuj</t>
  </si>
  <si>
    <t>anttiheikkil2
Ivermektiini pysäytti Koronan Japanissa.Miksi
ei Suomessa sitten ? https://t.co/JVVbxikzuj</t>
  </si>
  <si>
    <t>kilpikonna8
Ivermektiini pysäytti Koronan Japanissa.Miksi
ei Suomessa sitten ? https://t.co/JVVbxikzuj</t>
  </si>
  <si>
    <t>heikkiray
@Koljonen_Tuomas Mielestäni ilman
muuta pitää olla antiviraalit mukana.
Pfizerin uusi vaan on aika tyyris
700 taalaa kun saman periaatteen
Ivermektiini on 7 senttiä. Fluvoksamiinista
on lupaavia tuloksia myös. Sekä-että,
ei joko-tai. Yleensäkään.</t>
  </si>
  <si>
    <t xml:space="preserve">koljonen_tuomas
</t>
  </si>
  <si>
    <t>petrimaenpaa
@leanvaltio @Raitziger Periaatteen
toimiminen ei ole tae itse lääkkeen
tehosta. Jos ivermektiini tepsisi
hyvin koronaa vastaan, miksi se
ei ole laajamittaisessa käytössä?
Varmasti tuhannet lääkärit ja tutkijat
ovat perehtyneet aiheeseen eivätkä
kuitenkaan suosittele lähes ilmaista
lääkettä.</t>
  </si>
  <si>
    <t>raitziger
@leanvaltio Ivermektiini käteen
ja kotiin. Parempi kuin burana
vaikka parempiakin ilmeisesti on.
Esim monoklonaaliset vasta-aineet,
NAD yms. Suomessakin labroissa
luultavasti voisi valmistaa niitä.</t>
  </si>
  <si>
    <t>leanvaltio
@MikaelJungner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</si>
  <si>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aulikkinyberg
Ivermektiini pysäytti Koronan Japanissa.Miksi
ei Suomessa sitten ? https://t.co/JVVbxikzuj</t>
  </si>
  <si>
    <t>voinpahoin
@NymanVeepee @hpekk @yleuutiset
Tiedätkö sä mitä ivermektiini on?</t>
  </si>
  <si>
    <t xml:space="preserve">yleuutiset
</t>
  </si>
  <si>
    <t xml:space="preserve">hpekk
</t>
  </si>
  <si>
    <t xml:space="preserve">nymanveepee
</t>
  </si>
  <si>
    <t>kirsi_anneli
Jälleen valeuutinen. Oikeasti ei
ole mitään muuta varianttia kuin
korona -piikillä elimistöön saatettu
covid-19 bioase, johon auttaa mm.
ivermektiini. "Tarttuuko herkemmin,
kiertääkö rokotesuojaa? Tämä uudesta
koronamuunnoksesta tiedetään nyt"
https://t.co/bKoUJBx60X</t>
  </si>
  <si>
    <t>miaumaumiu
@lasleh @JantunenKaarina @iltasanomat
Turhaa näistä määristä valittaa.
Ivermektiini on todettuu tehokkaaksi
monissa maissa, joissa korona on
jo voitettu.</t>
  </si>
  <si>
    <t xml:space="preserve">jantunenkaarina
</t>
  </si>
  <si>
    <t xml:space="preserve">iltasanomat
</t>
  </si>
  <si>
    <t xml:space="preserve">lasleh
</t>
  </si>
  <si>
    <t>tomz0r
Hoi, kannabisaktiivit, oletteko
ajatelleet _xD83D__xDC47_ Lääkekannabis&amp;amp;ivermektiini,
yllättävän paljon yhtäläisiä tekijöitä
mutta yksi olennainen ero minkä
vuoksi ymmärrätte vain toisen lääketieteellisen
potentiaalin. Asiantuntijat kuten
@heikkipalve ei löydä kummankaan.
Samasta syystä. https://t.co/Dyme8gD1sw</t>
  </si>
  <si>
    <t xml:space="preserve">heikkipalve
</t>
  </si>
  <si>
    <t>lauri_paavola
@MikkoKorhonen12 Ei niin, Intiassa
kuolemat ja tautitapaukset lähti
laskuun kun he aloittivat WHOn
ohjeita vastaan ivermektiinilääkityksen
https://t.co/6AgzR1m7pE kun ivermektiini
lääkitys lopetettiin ja aloitettiin
rokotukset lähti tautitapaukset
jyrkkään nousuun https://t.co/L07pXoOoOY</t>
  </si>
  <si>
    <t>neongho96790876
Hoi, kannabisaktiivit, oletteko
ajatelleet _xD83D__xDC47_ Lääkekannabis&amp;amp;ivermektiini,
yllättävän paljon yhtäläisiä tekijöitä
mutta yksi olennainen ero minkä
vuoksi ymmärrätte vain toisen lääketieteellisen
potentiaalin. Asiantuntijat kuten
@heikkipalve ei löydä kummankaan.
Samasta syystä. https://t.co/Dyme8gD1sw</t>
  </si>
  <si>
    <t>_naturisti
@SarasvuoJari @EsaHakarauta @MikaIhamuotila
@EloHenri Sanon jonkun tosi huonomaineisen
sanan: Ivermektiini.</t>
  </si>
  <si>
    <t xml:space="preserve">elohenri
</t>
  </si>
  <si>
    <t xml:space="preserve">mikaihamuotila
</t>
  </si>
  <si>
    <t xml:space="preserve">esahakarauta
</t>
  </si>
  <si>
    <t xml:space="preserve">sarasvuojari
</t>
  </si>
  <si>
    <t>marymindys
Tämäkin suomalainen lääke ollut
tiedossa jo toukokuussa, mutta
ei kiinnosta päättäjiä_xD83E__xDD14_ "Uudessa
lääkkeessä käytettävät vaikuttavat
aineet aprotiniini, hydroksiklorokiini
ja ivermektiini, ovat tunnettuja
ja ne ovat laajalti käytössä."
https://t.co/K02O4bxUKM</t>
  </si>
  <si>
    <t>terokans
@darguner1 @SarasvuoJari @EsaHakarauta
@MikaIhamuotila @EloHenri Sen testit
lopetettiin kun placebo porukkaa
ja ivermektiini porukkaa kuoli
yhtä paljo. Epäinhimillistä kuulemma.</t>
  </si>
  <si>
    <t xml:space="preserve">darguner1
</t>
  </si>
  <si>
    <t>jarileino3
@MattiMuukkonen Tällainen oli koronataudin
saaneen ihmisen hämmentynyt reaktio,
kun hän pyysi lääkäriltä lääkettä
ja lääkäri sanoi: "Haista sinä
vittu paska denialisti!! Ivermektiini
on hevosten perselääke ja ne neljä
muuta on hyväksytty USA:ssa mutta
en anna sulle denialisti KUOLE
KUOLE KUOLE!"</t>
  </si>
  <si>
    <t>arlenmerlen
Körönäkööri estää Suomessa? IVM
Ivermektiini tabletti-hoidolla
saa todistetusti tuloksia. Lähes
ilmainen ja ilman lääkejättien
patentteja! _xD83C__xDF52_❣ (rokottamattomat&amp;amp;rokotetut)
https://t.co/17lG9kq9yi</t>
  </si>
  <si>
    <t>hirvonenjo
@TuoHon @MariaNordin Kukin voi
vapaasti avartaa ja päivittää tietämystään
maailmankuvaansa - Japani on ottanut
käyttöönsä lähes ilmaiset ivermektiini
tablettihoidit onnistuneesti.</t>
  </si>
  <si>
    <t>areyounoob
Tehdäänkö myös rokotetuista koronaan
kuolleista samanlaisia tarinoita
ja uutisia kuin tapauksesta, jossa
rokottamaton on kuollut koronaan?
Entä oliko kuolleella muita sairauksia
ja laiminlyötiinkö muiden hoitojen
käyttö (mm. ivermektiini)? https://t.co/PZDvLZ6cec</t>
  </si>
  <si>
    <t>okuokka
@xxxeerh @a28748626 @minnaeck Suomessa
reseptillä myytävä ivermektiini
on huomattavasti kalliimpaa kuin
maailmalla. Onko näin muidenkin
lääkkeiden osalta? Paljonko Suomen
lääkemenoissa vedetään välistä?
Lopulta se on kuitenkin pois kaikesta
muusta taloudesta.</t>
  </si>
  <si>
    <t>kat918345
@SariHeinonen5 En usko. Virus ei
voi olla yhtä aikaa sekä tappava,
että herkästi leviävä koska kuollut
isäntä ei mahdollista leviämistä.
Ja muutenkin, meillä on tehokas
hoito, ivermektiini, joka tehoaa
tähän virukseen eli kaikkiin sen
variaatioihin. Eli keino päästä
pöpöstä eroon on, ei haluta?</t>
  </si>
  <si>
    <t xml:space="preserve">sariheinonen5
</t>
  </si>
  <si>
    <t>kilpirinne_veli
@matti_reinikka @MikaIhamuotila
Juu niin on, taisivat jo Japanissa
ja osassa Intiaa ottaakin käyttöön
ja korona käytännössä hävisi sieltä.
Ivermektiini on lääkkeen nimi ja
taitaa sillä olla ikääkin jo parikymmentä
vuotta.</t>
  </si>
  <si>
    <t xml:space="preserve">matti_reinikka
</t>
  </si>
  <si>
    <t>etelanmies
@matti_reinikka @MikaIhamuotila
Juu niin on, taisivat jo Japanissa
ja osassa Intiaa ottaakin käyttöön
ja korona käytännössä hävisi sieltä.
Ivermektiini on lääkkeen nimi ja
taitaa sillä olla ikääkin jo parikymmentä
vuotta.</t>
  </si>
  <si>
    <t xml:space="preserve">marianordin
</t>
  </si>
  <si>
    <t xml:space="preserve">tuohon
</t>
  </si>
  <si>
    <t>johnpulm
@rvalimaki @hannu42 @RippperJohnson
@FinReccu @SamuliGloersen @ApeKanerva
Ja kun laitat sen uuteen pakettiin
niin brändäät saman tuotteen uusiksi,
eikö niin? Eikö Pfizerin uudessa
lääkkeessä ollut kolmea vaikuttavaa
ainetta, joista yksi ivermektiini?</t>
  </si>
  <si>
    <t xml:space="preserve">finreccu
</t>
  </si>
  <si>
    <t>rvalimaki
@RippperJohnson @SamuliGloersen
@JohnPulm @hannu42 @FinReccu @ApeKanerva
Trump ei liity asiaan yhtään mitenkään.
Ivermektiinin tehoa koronan hoitamiseen
on tutkittu, mutta ei havaittu.
@SamuliGloersen lainauksessa yllä
tosin on, että saattaa auttaa niitä
koronapotilaita, jotka sattuvat
kärsimään myös madoista, joille
ivermektiini on hyvä lääke.</t>
  </si>
  <si>
    <t>apekanerva
Mitä Japani on tehnyt sellaista
jota Suomessa ei ole tehty? #ivermektiini
@mika_salminen @HNohynek https://t.co/2lxq6QVlTZ</t>
  </si>
  <si>
    <t xml:space="preserve">samuligloersen
</t>
  </si>
  <si>
    <t xml:space="preserve">rippperjohnson
</t>
  </si>
  <si>
    <t xml:space="preserve">hannu42
</t>
  </si>
  <si>
    <t>ristoreipas10
@pbyrokraatti Vastasin Ivermektiini,
koska turvavyöstä en ole saanut
mikrosirua 5G:tä varten. 5g:tä
ei myöskään tullut koronarokotteista.
_xD83E__xDD37_ https://t.co/OpdQH0xW9K</t>
  </si>
  <si>
    <t xml:space="preserve">pbyrokraatti
</t>
  </si>
  <si>
    <t>teemual
@pbyrokraatti Viimeinen käytännön
pila kollegoille, kun tulevat kolaripaikalle
ja mulla on paskat housussa - ivermektiini</t>
  </si>
  <si>
    <t>petri_pellinen
@SamiAntinniemi Häneltä sain vihiä
tepsivästä longcovid hoidostakin
_xD83D__xDC4D_ Sinusta saattaa tulla Suomen
tohtori Papu _xD83E__xDD14_ On sen verran pitävä
ote ivermektiini videossasi ❤️
Mikäköhän mahtaa olla seuraava
aiheesi... typpioksidi vs virus
_xD83E__xDD14_</t>
  </si>
  <si>
    <t xml:space="preserve">samiantinniemi
</t>
  </si>
  <si>
    <t>ambyr00
@pbyrokraatti Turvavyö on jo kiinni,
joten ainoa vaihtoehto taitaa olla
ivermektiini. En tosin ymmärrä
miksi haluaisin ottaa sen, tai
miksi se estäisi törmäyksen. Toisaalta,
jos joku julkaisisi kontrolloidun
tuplasokkotutkimuksen koronan hoidossa
positiivisin tuloksin, saattaisin
harkita.</t>
  </si>
  <si>
    <t>vihameemipolice
@tmhirvi @ShhSami @OKuokka Tohtoriopiskelija
väittää, että ivermektiini ei toimi.
Rokoteuskovaiset: "Juuri näin!!!"
mRNA-rokotteiden keksijä sanoo,
että ivermektiini toimii. Myös
rokoteuskovaiset: "Wööö fake news,
toi äijä on pihalla."</t>
  </si>
  <si>
    <t xml:space="preserve">shhsami
</t>
  </si>
  <si>
    <t>tmhirvi
@matti_lampi @KorpinenLaura Ivermektiini
on oikein käytettynä tehokas ja
turvallinen lääke loisia vastaan.
Virusten tehokkaaseen torjuntaan
vaadittaisiin vaan nykytiedolla
(nieltynä) paljon isompia annoksia.
Iv-hoitoa tukevien tutkimusten
laatukin on ollut kyseenalainen.
https://t.co/tefV3O1FCG https://t.co/VbEIJ13Ywz</t>
  </si>
  <si>
    <t>porkka_pekka
@SebastianMaki @lasleh Ivermektiini
ja HCQ käyttöön rokotteen sijaan
niin ei tuli yhtä paljoa ruumiita.</t>
  </si>
  <si>
    <t xml:space="preserve">sebastianmaki
</t>
  </si>
  <si>
    <t>haukkatar70
@MolkanenOskari @KorpinenLaura
@MikaIhamuotila Kyllähän niitä
on paljon lääkkeitä kuten ivermektiini
joilla on saatu hyviä tuloksia.
Kysymys kuuluu miksi sitä ei saisi
käyttää? Agenda on että jos joku
toimisi paremmin kuin piikit ei
piikkejä enää kukaan haluaisi.</t>
  </si>
  <si>
    <t xml:space="preserve">molkanenoskari
</t>
  </si>
  <si>
    <t>korpinenlaura
@Tommi_Kinnunen @Muhisazizi Jos
tarkoitat #ivermectin, kyseinen
"hevoslääke" on ihmisille hyväksytty,
loishäätöön tarkoitettu lääke,
jonka kehittäjä saanut nobel-palkinnon.
Älä jaa valeuutisia. #ivermektiini
https://t.co/AlIwWtRvNw</t>
  </si>
  <si>
    <t>kikkimirri
@pbyrokraatti Ivermektiini käy
kaikkeen koska on voittanut Nobel-palkinnon.
Käytän närästykseen ja alaselkäkipuun</t>
  </si>
  <si>
    <t>terrieri4
@EevaPirila @MaKriKaLi @KimmoRautanen
@Arquez13 Mikä? Arfikassa ja Intiassa
käsittääkseni menee ihan hyvin
kun ivermektiini otettiin käyttöön
rokotteen sijaan.</t>
  </si>
  <si>
    <t xml:space="preserve">arquez13
</t>
  </si>
  <si>
    <t xml:space="preserve">kimmorautanen
</t>
  </si>
  <si>
    <t>makrikali
@nuuska @Riku_Ranta @minna_talvitie
Ainakaan ivermektiini ei ole tutkimuksissa
osoittautunut ratkaisuksi. Heikkolaatuisia
tutkimuksia on kovasti tuotu esiin,
mutta ei ole salaliittoa, joka
estäisi sen käytön, jos se olisi
tehokkaaksi ja turvalliseksi todettu
sillä annostelulla, joka tarvitaan.</t>
  </si>
  <si>
    <t>eevapirila
@HannaSokajarvi @hoopoilua @LindenAki
Ivermektiini, hengityskoneen tilalle
aspiriini, nimittäin se poistaa
pienet verisuonitukokset keuhkoista.</t>
  </si>
  <si>
    <t>bp20185
@tuomejoo @anttipirttimaki Väärin!
Ivermektiini, loislääke, jota käytetään
pääasiassa karjan madonpoistoon,
EI ole hyväksytty COVID-19-hoidossa
Japanissa. COVID-19-hoidossa hyväksytyt
lääkkeet määrittää Japanin lääke-
ja lääkinnällisten laitteiden virasto
(PMDA) _xD83D__xDC47_ https://t.co/sonzXIqyt4</t>
  </si>
  <si>
    <t xml:space="preserve">anttipirttimaki
</t>
  </si>
  <si>
    <t xml:space="preserve">tuomejoo
</t>
  </si>
  <si>
    <t>citizensawarena
Ivermektiini pysäytti Koronan Japanissa.Miksi
ei Suomessa sitten ? https://t.co/JVVbxikzuj</t>
  </si>
  <si>
    <t>aikuinen1
@KorpinenLaura Rupea puhumaan -ivermektiini-
puolesta!! Hölmöä kun sitä ei huomioida
laisinkaan, vaikka se toimii hyvin
Japanissa!</t>
  </si>
  <si>
    <t xml:space="preserve">viren_matti
</t>
  </si>
  <si>
    <t>lainerjlaine
@SarasvuoJari Tulisipa markkinoille
jo Pfizerin Paxlovid suunkautta
otettava rokote(ivermektiini kopio),
niin kaikki voivat ottaa sitä ja
kaikki voittavat, jopa pandemiankin.
Paxlovidissa on sama kuin Ivermektiinissä,
tunnetaan koodilla: PF-07321332</t>
  </si>
  <si>
    <t>finnelandia
@teuraskarju @zin_zah Ei tarvi.
Niillä on ivermektiini käytössä
(alunperin muista syistä) ja erittäin
alhaiset korona luvut.</t>
  </si>
  <si>
    <t xml:space="preserve">zin_zah
</t>
  </si>
  <si>
    <t xml:space="preserve">teuraskarju
</t>
  </si>
  <si>
    <t>taskinenvili
@tapio_suominen Kyllä määrätään.
Ei vaan meille tavallisille ihmisille..
Yhdysvalloissa tuhansia potilaita
hoidettu ivermektiinillä, kuuluisin
heistä ehkä Joe Rogan. Sai koronan
ja parantui parissa päivässä. Sai
kuraa niskaan kun kertoi julkisesti
että ivermektiini auttoi...</t>
  </si>
  <si>
    <t xml:space="preserve">tapio_suominen
</t>
  </si>
  <si>
    <t>foliohattu5g
@HannaSokajarvi @hoopoilua @totuusseerumi
@LindenAki Ivermektiini todistetusti
toimii koronan hoidossa sanoo tutkimusnäyttö.
3/3 https://t.co/hK9jhsuDNA</t>
  </si>
  <si>
    <t xml:space="preserve">karnamikko
</t>
  </si>
  <si>
    <t xml:space="preserve">lehtinenmarkkua
</t>
  </si>
  <si>
    <t xml:space="preserve">jethrorostedt
</t>
  </si>
  <si>
    <t xml:space="preserve">tommih9
</t>
  </si>
  <si>
    <t xml:space="preserve">dgtiainen
</t>
  </si>
  <si>
    <t xml:space="preserve">koivupuroeero
</t>
  </si>
  <si>
    <t xml:space="preserve">totuusseerumi
</t>
  </si>
  <si>
    <t>katjakurk
Ivermektiini toimii ehdottoman
varmasti koronaa vastaan! Vai oletteko
nähneet yhtään poroa tai hevosta,
jolla olis loishåädön jälkeen korona?
https://t.co/NUzAhnj3DA</t>
  </si>
  <si>
    <t xml:space="preserve">lindenaki
</t>
  </si>
  <si>
    <t xml:space="preserve">hannasokajarvi
</t>
  </si>
  <si>
    <t xml:space="preserve">hoopoilua
</t>
  </si>
  <si>
    <t xml:space="preserve">beetas
</t>
  </si>
  <si>
    <t xml:space="preserve">spihatto
</t>
  </si>
  <si>
    <t>_amr_2
Siitä ivermektiinistä vielä. ”Ei
siitä haittaakaan ole” ei oikein
toimi lääkeaineiden kanssa, kun
niiden on vähänniinku just tarkoitus
vaikuttaa elimistöön. Tässä on
Merckin #ivermektiini-käyttöturvallisuustiedote.
https://t.co/jF28v3EyJL https://t.co/XkI9WXKQ5w</t>
  </si>
  <si>
    <t>mikaelniku
@Koljonen_Tuomas @sujofin Jep.
Tässäkin tullaan siihen, mihin
mikäkin lääke oikeasti vaikuttaa
tehokkaasti. Ivermektiini tappaa
loiset tehokkaasti, joten annokset
turvallisia. Vaikutus koronavirusta
ja sen entsyymejä vastaan on osoitettu
ziljardikertaisilla annoksilla
suhteessa turvalliseen rajaan.</t>
  </si>
  <si>
    <t>mikkofabric
Siitä ivermektiinistä vielä. ”Ei
siitä haittaakaan ole” ei oikein
toimi lääkeaineiden kanssa, kun
niiden on vähänniinku just tarkoitus
vaikuttaa elimistöön. Tässä on
Merckin #ivermektiini-käyttöturvallisuustiedote.
https://t.co/jF28v3EyJL https://t.co/XkI9WXKQ5w</t>
  </si>
  <si>
    <t>paulapauleena
@katariinag1234 @jussi2018 Idealistinen
ajatus. Jo pandemian alussa meillä
oli toimivat lääkkeet, ivermektiini
ja D-vitamiini. Niistä tehdään
väittämiä, ettei ne tehoa. Ei voi
välttyä ajatukselta, että tilalle
haluttiin kalliit patentoidut lääkkeet.
Myös Intia taltutti koronan ivermektiinillä.</t>
  </si>
  <si>
    <t xml:space="preserve">matsronnback
</t>
  </si>
  <si>
    <t xml:space="preserve">hobfit1
</t>
  </si>
  <si>
    <t xml:space="preserve">jussi2018
</t>
  </si>
  <si>
    <t xml:space="preserve">katariinag1234
</t>
  </si>
  <si>
    <t xml:space="preserve">tomiaalto3
</t>
  </si>
  <si>
    <t xml:space="preserve">hnohynek
</t>
  </si>
  <si>
    <t xml:space="preserve">mika_salminen
</t>
  </si>
  <si>
    <t>koronakuiskaaja
Mitä Japani on tehnyt sellaista
jota Suomessa ei ole tehty? #ivermektiini
@mika_salminen @HNohynek https://t.co/2lxq6QVlTZ</t>
  </si>
  <si>
    <t>ardenorde
Mitä Japani on tehnyt sellaista
jota Suomessa ei ole tehty? #ivermektiini
@mika_salminen @HNohynek https://t.co/2lxq6QVlTZ</t>
  </si>
  <si>
    <t>heinikettunen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</si>
  <si>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 xml:space="preserve">nasimarazmyar
</t>
  </si>
  <si>
    <t>river17_eaglle
Mitä Japani on tehnyt sellaista
jota Suomessa ei ole tehty? #ivermektiini
@mika_salminen @HNohynek https://t.co/2lxq6QVlTZ</t>
  </si>
  <si>
    <t xml:space="preserve">suviturtiainen
</t>
  </si>
  <si>
    <t>quuquu
@Tommi_Kinnunen @MVirtanen @Muhisazizi
Vaikuttavina aineina mm ivermektiini
ja hydroklorokiini. https://t.co/ayi5qzDakj</t>
  </si>
  <si>
    <t>hilmisdilmis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</si>
  <si>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teris69400629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</si>
  <si>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maalaistollo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</si>
  <si>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astfroglogy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</si>
  <si>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merilainenriina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</si>
  <si>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_flashman_harry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</si>
  <si>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benelef999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</si>
  <si>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 xml:space="preserve">emppuvuori
</t>
  </si>
  <si>
    <t>reviewpierre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</si>
  <si>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 xml:space="preserve">er_korhola
</t>
  </si>
  <si>
    <t>anitta65875243
"Uudessa lääkkeessä käytettävät
vaikuttavat aineet aprotiniini,
hydroksiklorokiini ja #ivermektiini,
ovat tunnettuja ja ne ovat laajalti
käytössä". https://t.co/CFTlbGo83J</t>
  </si>
  <si>
    <t>petterileppa
"Uudessa lääkkeessä käytettävät
vaikuttavat aineet aprotiniini,
hydroksiklorokiini ja #ivermektiini,
ovat tunnettuja ja ne ovat laajalti
käytössä". https://t.co/CFTlbGo83J</t>
  </si>
  <si>
    <t>mpbacardinen
Mitä Japani on tehnyt sellaista
jota Suomessa ei ole tehty? #ivermektiini
@mika_salminen @HNohynek https://t.co/2lxq6QVlTZ</t>
  </si>
  <si>
    <t>mbacardinen
Mitä Japani on tehnyt sellaista
jota Suomessa ei ole tehty? #ivermektiini
@mika_salminen @HNohynek https://t.co/2lxq6QVlTZ</t>
  </si>
  <si>
    <t>sannapiipponen
Mitä Japani on tehnyt sellaista
jota Suomessa ei ole tehty? #ivermektiini
@mika_salminen @HNohynek https://t.co/2lxq6QVlTZ</t>
  </si>
  <si>
    <t>eramaas
@AittolaEija Laumasuojaa yritetään
vuotavalla piikillä.. . Ei onnistu
sekään. Nyt ivermektiini ja vitamiinit
käyttöön.</t>
  </si>
  <si>
    <t xml:space="preserve">sale43903750
</t>
  </si>
  <si>
    <t xml:space="preserve">jipefin
</t>
  </si>
  <si>
    <t xml:space="preserve">janus_putkonen
</t>
  </si>
  <si>
    <t xml:space="preserve">johanbek
</t>
  </si>
  <si>
    <t xml:space="preserve">juha_korh2
</t>
  </si>
  <si>
    <t xml:space="preserve">reaverteknogods
</t>
  </si>
  <si>
    <t xml:space="preserve">ikenovikoff
</t>
  </si>
  <si>
    <t xml:space="preserve">laurahuhtasaari
</t>
  </si>
  <si>
    <t xml:space="preserve">huhtasaarisaara
</t>
  </si>
  <si>
    <t xml:space="preserve">kromantikko
</t>
  </si>
  <si>
    <t>huuhtanenpanu
@JaniMakelaFi Ivermektiini on "huono
pelastaja" koska se on edullinen
ja ei lihota lääkefirmojen kassaa
eikä siitä kassasta voi siten lahjoa
poliitikkoja ja @HUS_fi, @THLorg
ja @Fimea mengeleitä.</t>
  </si>
  <si>
    <t xml:space="preserve">fimea
</t>
  </si>
  <si>
    <t xml:space="preserve">thlorg
</t>
  </si>
  <si>
    <t xml:space="preserve">hus_fi
</t>
  </si>
  <si>
    <t>psivonen
@JaniMakelaFi Ivermektiini on "huono
pelastaja" koska se on edullinen
ja ei lihota lääkefirmojen kassaa
eikä siitä kassasta voi siten lahjoa
poliitikkoja ja @HUS_fi, @THLorg
ja @Fimea mengeleitä.</t>
  </si>
  <si>
    <t xml:space="preserve">janimakelafi
</t>
  </si>
  <si>
    <t xml:space="preserve">hakalaolli
</t>
  </si>
  <si>
    <t xml:space="preserve">sarisarkomaa
</t>
  </si>
  <si>
    <t xml:space="preserve">isakstom
</t>
  </si>
  <si>
    <t xml:space="preserve">tiinakeskimki
</t>
  </si>
  <si>
    <t xml:space="preserve">mirkhe
</t>
  </si>
  <si>
    <t xml:space="preserve">aittolaeija
</t>
  </si>
  <si>
    <t xml:space="preserve">turtiainenano
</t>
  </si>
  <si>
    <t>laski77
@Tommi_Kinnunen @Muhisazizi https://t.co/1QAPQHYmF0
-sivusto, joka osoittaa 61 tutkimusta,
joihin osallistui 23 000 potilasta
ja jotka paljastavat jopa 96%:
n kuoleman vähenemisen (ennaltaehkäisy)
Ivermektiinillä. Ivermektiini on
tehokas, tehokkaampi kuin rokote.</t>
  </si>
  <si>
    <t xml:space="preserve">muhisazizi
</t>
  </si>
  <si>
    <t xml:space="preserve">tommi_kinnunen
</t>
  </si>
  <si>
    <t>f1nhammer
@laski77 @Tommi_Kinnunen @Muhisazizi
Kannattaa lukea kokonaan mikäli
Ivermektiini kiinnostaa. https://t.co/l2ZzdB89Dx
https://t.co/Fl62ZEX2Hs</t>
  </si>
  <si>
    <t>penjussi
@Tommi_Kinnunen @Muhisazizi "Ivermektiini
Lääkeaine Ivermektiini on makrosyklinen
laktoneihin kuuluva lääkeaine.Sitä
käytetään niin ihmis- kuin eläinlääketieteessäkin
useiden loisten kuten syyhypunkin,päätäiden,jokisokeutta
aiheuttavan Onchocerca volvulus
-madon ja elefanttitautia aiheuttavien
sukkulamat...</t>
  </si>
  <si>
    <t xml:space="preserve">hituvati
</t>
  </si>
  <si>
    <t>universumin
"Uudessa lääkkeessä käytettävät
vaikuttavat aineet aprotiniini,
hydroksiklorokiini ja #ivermektiini,
ovat tunnettuja ja ne ovat laajalti
käytössä". https://t.co/CFTlbGo83J</t>
  </si>
  <si>
    <t>heikkivienonen1
@KorpinenLaura "Uudessa lääkkeessä
käytettävät vaikuttavat aineet
aprotiniini, hydroksiklorokiini
ja ivermektiini, ovat tunnettuja
ja ne ovat laajalti käytössä."
Mitä veikkaat miksi siitä ei hirveästi
puhuta</t>
  </si>
  <si>
    <t>matti_lampi
@tmhirvi @KorpinenLaura No esimerkiksi
maat joissa ivermektiini otettiin
käyttöön, sillä saatiin hyviä vaikutuksia
- &amp;gt; tilastollisesti tartunnat
ja sairaalakäynnit putosivat ja
olikohan chile vai peru jossa presidentin
vaihdon myötä ivermektiini kiellettiin,
lähtivät tapaukset jälleen nousuun</t>
  </si>
  <si>
    <t>madetojastig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</si>
  <si>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 xml:space="preserve">jyrkikononen
</t>
  </si>
  <si>
    <t>vyyhdinpurkaja
Mitä Japani on tehnyt sellaista
jota Suomessa ei ole tehty? #ivermektiini
@mika_salminen @HNohynek https://t.co/2lxq6QVlTZ</t>
  </si>
  <si>
    <t xml:space="preserve">vsavela
</t>
  </si>
  <si>
    <t xml:space="preserve">hannon_harriet
</t>
  </si>
  <si>
    <t xml:space="preserve">svarmavuo
</t>
  </si>
  <si>
    <t xml:space="preserve">jonnasep
</t>
  </si>
  <si>
    <t>sujofin
@leanvaltio @satuhassi @JarnoVirtanen2
@Anni_Lahti_ Koronapassi poistuu
kun ihmiset rokottautuu. Yhtiöiden
ei tarvitse julkaista liikesalaisuuksia.
Rokotetuotteen (lääkkeen) valintaan
ei maallikolla riitä taito. Ivermektiini
ei covidiin toimi, se on matolääke.
Rokottamattomat eivät ole kansanryhmä.
Lisää? _xD83E__xDD14_</t>
  </si>
  <si>
    <t>kehottelija
@Tommi_Kinnunen @Muhisazizi Lol.
Rokotukset eivät siis estä vakavaa
tautimuotoa, koska rokotettujakin
joutuu hoitoon, mutta Ivermektiini
estäisi. Eihän siinä, kokeiluun
vaan kaikille halukkaille ja jos
käytöstä huolimatta joutuu tehohoitoon,
niin ei katsota perussairauksia,
ikää tms vaan todetaan "ei toimi"</t>
  </si>
  <si>
    <t>miskakemppinen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</si>
  <si>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joakimwahlberg
@leanvaltio @MattiMuukkonen Ivermektiini
on laillista ja hyvä lääke loisiin.</t>
  </si>
  <si>
    <t xml:space="preserve">odds_12
</t>
  </si>
  <si>
    <t>takapirulainen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</si>
  <si>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 xml:space="preserve">laumansuojaaja
</t>
  </si>
  <si>
    <t>ounaskoski
@koronakuiskaaja @MMaitoparta @mika_salminen
@HNohynek ivermektiini_xD83D__xDC4D_</t>
  </si>
  <si>
    <t>mmaitoparta
Monet ns. salaliittoteoreetikot
ovat selvästi perehtyneet aiheisiin
huomattavasti paljon paremmin,
kuin keskiverto ”Ivermektiini LMAO
LOL hevosten matolääke” -huutelijat.
Se ei tietenkään tee salaliittoteoreetikoistakaan
asiantuntijoita. Mutta näyttää
monesti jopa paremmalta. _xD83D__xDC28_</t>
  </si>
  <si>
    <t>teetee63tee
Ivermektiini käyttöön Suomessa!
(Rokotukset voidaan lopettaa) https://t.co/c950nH5DhG</t>
  </si>
  <si>
    <t>hezerminator
@montomik @PenJussi @lauri_paavola
@Tommi_Kinnunen @jonnasep @Muhisazizi
Ivermektiini toimii aivan helvetin
hyvin useissa virustaudeissa. Se
haittaa virusten replikoitumisprosessia
joka antaa aikaa immuunipuolustukselle
muodostaa vasta-aineita ennenkuin
viruskuorma nousee liian korkeaksi.</t>
  </si>
  <si>
    <t xml:space="preserve">montomik
</t>
  </si>
  <si>
    <t>mvirtanen
@Tommi_Kinnunen @Muhisazizi Monet
aineet, kuten tutut särkylääkkeet
toimivat useammilla kuin yhdellä
nisäkkäällä. Ivermektiini on yksi
näitä, ja se on hyväksytty ainakin
USA:ssa sekä hevosille että ihmisille,
viimeksimainituille toki huomattavasti
pienempinä annoksina. Ota selvää
asioista ennenkuin piippaat</t>
  </si>
  <si>
    <t>sliquid84
@NasimaRazmyar Julkaiskaa tarkka
listaus sairaalahoitoon joutuneiden
koronapotilaiden ikäjakaumasta,
painoindeksistä, muiden sairauksien
ja lääkitysten roolista. Vapauttakaa
ivermektiini. Lopettakaa puheet
koronapassista ja pakosta. Jaa
tietoa ja rakenna luottamusta.
Ihmiset tulevat. #koronafi</t>
  </si>
  <si>
    <t>nenuhnet
@ArttuHamalainen Ivermektiini taitaa
valitettavasti vaan toimia</t>
  </si>
  <si>
    <t xml:space="preserve">arttuhamalainen
</t>
  </si>
  <si>
    <t>thatbonsaipanda
@MVirtanen @Tommi_Kinnunen @Muhisazizi
Ivermektiini ei toimi millään tasolla
SARS-CoV-2 viruksen hoitoon eikä
sitä todellakaan suositella ihmisille.
Sen toimivuudesta ei ole ainuttakaan
todistetta mutta lääkettä ottaneista
ja sen takia sairaalaan joutuneista
on vaikka kuinka monta artikkelia
luettavana.</t>
  </si>
  <si>
    <t>mikkojokela4
@LeenaKeinnen1 @TurtiainenAno Kansallinen
d-vitamiiniohjelma, ivermektiini
heti alkuoireisiin, massiivinen
oireettomien testailun ja jäljityksen
lopettaminen, se on tässä kaikessa
kalleinta. Sieltä vapautuisi resursseja
varsinaiseen terveydenhoitoon.
Metabolisista ongelmista kärsivät
ketodieetille. Jne.</t>
  </si>
  <si>
    <t xml:space="preserve">leenakeinnen1
</t>
  </si>
  <si>
    <t>lundeee
Mitä Japani on tehnyt sellaista
jota Suomessa ei ole tehty? #ivermektiini
@mika_salminen @HNohynek https://t.co/2lxq6QVlTZ</t>
  </si>
  <si>
    <t>tiedonhalu
@MVirtanen @Tommi_Kinnunen @Muhisazizi
BigFarma ei halua sijoittaa orpolääkkeiden
tutkimukseen. Halvat vanhat #hcq
ja #ivermektiini ovat jääneet vaille
kunnon selvityksiä juuri varhaisvaiheen
käytössä ennen sairaalakuntoon
joutumista. Tilalle tuputtavat
kalliita uusia vähintään yhtä heikkotehoisia
(#molnupiravir)</t>
  </si>
  <si>
    <t>eskoluukkonen4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</si>
  <si>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nullius_
Ostaisin. Käyttäisin. _xD83D__xDC4D_ "Uudessa
lääkkeessä käytettävät vaikuttavat
aineet aprotiniini, hydroksiklorokiini
ja ivermektiini, ovat tunnettuja
ja ne ovat laajalti käytössä."
https://t.co/VwNZP8dxmT</t>
  </si>
  <si>
    <t>grrr_marta
@KorpinenLaura "Uudessa lääkkeessä
käytettävät vaikuttavat aineet
aprotiniini, hydroksiklorokiini
ja ivermektiini, ovat tunnettuja
ja ne ovat laajalti käytössä."
Mitä veikkaat miksi siitä ei hirveästi
puhuta</t>
  </si>
  <si>
    <t>akottarainen
@Tommi_Kinnunen @Muhisazizi Korrelaatio
ei ole tae kausaliteetista, mutta
neljässä kuvan maista ivermektiini
on hyväksytty covidin ehkäisyyn.
Japanissa iv hyväksyttiin elokuun
13 pvä. 12 vrk hyväksynnän jälkeen
tartuntojen määrä lähti jyrkkään
laskuun. Muissa maissa on ollut
vastaavaa. https://t.co/P0Z52M3WS6</t>
  </si>
  <si>
    <t>tatianadesancti
@teslailija Hevosten matolääke
eli ivermektiini, moni uskoo lähes
ihmeenomaiseen tehoon, mutta itse
en vakuuttunut kun yritin etsiä
tietoa. Isoja, vertaisarvioituja
ja laadukkaassa lehdessä julkaistuja
tutkimuksia sen puolesta kun löytyi
huonosti. Voi olla toki että en
vaan löytänyt niitä.</t>
  </si>
  <si>
    <t xml:space="preserve">teslailija
</t>
  </si>
  <si>
    <t>timahmc
@Tommi_Kinnunen @Muhisazizi Monet
aineet, kuten tutut särkylääkkeet
toimivat useammilla kuin yhdellä
nisäkkäällä. Ivermektiini on yksi
näitä, ja se on hyväksytty ainakin
USA:ssa sekä hevosille että ihmisille,
viimeksimainituille toki huomattavasti
pienempinä annoksina. Ota selvää
asioista ennenkuin piippaat</t>
  </si>
  <si>
    <t>kviikari
@pbockerman @lotta_hallstrom @MKorja
@PierreKory Tämä Pfizerin uusi
tänään julkaistu pilleri on kuulemma
ivermektiini-pohjainen: https://t.co/fkouE5Q3bH</t>
  </si>
  <si>
    <t xml:space="preserve">pierrekory
</t>
  </si>
  <si>
    <t xml:space="preserve">mkorja
</t>
  </si>
  <si>
    <t xml:space="preserve">lotta_hallstrom
</t>
  </si>
  <si>
    <t xml:space="preserve">pbockerman
</t>
  </si>
  <si>
    <t>eliasaarnio
@Tommi_Kinnunen @JouniPeltoniemi
@Muhisazizi Ei ei ei! Ivermektiini
on erinomainen loislääke! Siksi
jokaisen "rokotekriittisen" ja
kansallisvastenmielisen tulee voida
annostella sitä itselleen niin
että terapeuttisen ikkunan raamit
kaulassa mennään pihalla paskomaan
housuun! (Tunnettu sivuvaikutus."
#takki</t>
  </si>
  <si>
    <t xml:space="preserve">jounipeltoniemi
</t>
  </si>
  <si>
    <t>jvnevalainen
@Kiili @Tommi_Kinnunen @Muhisazizi
https://t.co/LiH1USud0D Ivermektiini
on kehitetty loisten aihauttamiin
tulehdussairauksien hoitoon. En
tiedä, että tepsiikö koronaan,
mutta hevoslääkkeestä puhuminen
on silkkaa disinformaatiota.</t>
  </si>
  <si>
    <t xml:space="preserve">kiili
</t>
  </si>
  <si>
    <t>koala79124457
Monet ns. salaliittoteoreetikot
ovat selvästi perehtyneet aiheisiin
huomattavasti paljon paremmin,
kuin keskiverto ”Ivermektiini LMAO
LOL hevosten matolääke” -huutelijat.
Se ei tietenkään tee salaliittoteoreetikoistakaan
asiantuntijoita. Mutta näyttää
monesti jopa paremmalta. _xD83D__xDC28_</t>
  </si>
  <si>
    <t>akimiettinen1
"Uudessa lääkkeessä käytettävät
vaikuttavat aineet aprotiniini,
hydroksiklorokiini ja #ivermektiini,
ovat tunnettuja ja ne ovat laajalti
käytössä". https://t.co/CFTlbGo83J</t>
  </si>
  <si>
    <t>katrintviitit
Mitä Japani on tehnyt sellaista
jota Suomessa ei ole tehty? #ivermektiini
@mika_salminen @HNohynek https://t.co/2lxq6QVlTZ</t>
  </si>
  <si>
    <t>sekoomus
@jyrkikononen Vain epärehelliset
vellihousut perääntyy "kysyn vain
kysymyksiä" -pelleilyn taakse.
Ivermektiini aiheuttaa sekavuutta
ja sen takia ei kannattaisi ajella.
Onhan se jopa kiellettykin. Oletko
varma, että liikenneympyrä oli
liukas, vai oliko se hevostahna
mikä sinulle sanoi näin?</t>
  </si>
  <si>
    <t>rope55543770
@sekoomus @jyrkikononen No minun
ivermektiini on ihmisille tarkoitettu
ja ei ole kolmiota_xD83D__xDC4D__xD83D__xDE09_</t>
  </si>
  <si>
    <t>ryyppop
@Xarzi19 @Tommi_Kinnunen @nakkeman
@MVirtanen @Muhisazizi Mun mutuaaleissa
on eläinlääkäri joka on jo alusta
lähtien nauranu ihmisille, jotka
oikeasti kuvittelee, että ivermektiini
ois hyvä lääke ihmisille. Kyllä,
uskon ennemmin häntä sekä Suomessakin
tehtyjä tutkimuksia ettei se ole
sovelias. https://t.co/Ihjd5oHhv3</t>
  </si>
  <si>
    <t xml:space="preserve">nakkeman
</t>
  </si>
  <si>
    <t xml:space="preserve">xarzi19
</t>
  </si>
  <si>
    <t>markkulaitinen3
@KorpinenLaura Siinähän on sitä
”hevosten matolääkettä”, jonka
käyttöä Ylen kirjeenvaihtaja päivitteli
Itävallassa _xD83D__xDC49_”Uudessa lääkkeessä
käytettävät vaikuttavat aineet
aprotiniini, hydroksiklorokiini
ja ivermektiini, ovat tunnettuja
ja ne ovat laajalti käytössä.”</t>
  </si>
  <si>
    <t>mikkokorhonen12
@lauri_paavola Milloin oikein kuvittelet
Intian lopettaneen ivermektiinin
käytön ja aloittaneen rokotukset?
Menehän tarkistamaan aikajanasi.
Miksi tapaukset romahtivat ympäri
Intiaa, vaikka ivermektiiniä käytettiin
vain osassa? Miksi ivermektiini
ei estänyt sitä, että 2/3 sai koronan?
https://t.co/9IBi9Iq3CK</t>
  </si>
  <si>
    <t xml:space="preserve">jutasa54
</t>
  </si>
  <si>
    <t>artokekkonen
@Tommi_Kinnunen @Muhisazizi Jos
pointtia lääketieteen ammattilaisten
neuvomatta jättämisestä haluaa
jotenkin terästää, "ivermektiini
ei toimi koronan hoitamiseen" on
ihan hyvä pointti; "heh hevosten
matolääke" taas on oikeastaan faktuaalisesti
väärin.</t>
  </si>
  <si>
    <t>pee_ranta
@Tommi_Kinnunen @Muhisazizi Mut
hei, Lasse ja Juhani suosittelee
myös D-vitamiinia koronan ehkäisyssä.
Miksi asiasta vaietaan? Pääsee
todella vähän esille? Liian halpaa?
Samoin kuin ivermektiini _xD83E__xDD29_. https://t.co/ww5Trh1Fvp</t>
  </si>
  <si>
    <t>siniveikko
@MarkusSovala @Maaninkavaara Miten
joukko-oppi selittää tämän ilmiön?
Mun nähdäkseni olisi aika ottaa
käyttöön #ivermektiini ja #HydroxyChloroquine
rokotukset ei näytä tehoavan. https://t.co/92aZhIxl2Z</t>
  </si>
  <si>
    <t xml:space="preserve">maaninkavaara
</t>
  </si>
  <si>
    <t xml:space="preserve">markussovala
</t>
  </si>
  <si>
    <t>vainikainen
@Tommi_Kinnunen @kreetalainen @Muhisazizi
Tämä on se pointti tässä. Aivan
sama toimiiko ivermektiini vai
ei, valtuutettujen tehtävä ei ole
antaa hoitosuosituksia.</t>
  </si>
  <si>
    <t xml:space="preserve">kreetalainen
</t>
  </si>
  <si>
    <t>jammusaloniemi
@MVirtanen @Tommi_Kinnunen @Muhisazizi
Virtanen, ivermektiini on loislääke
eikä mikään järjissään oleva taho
esitä sitä covidin hoitoon.</t>
  </si>
  <si>
    <t>paullindema
@Maria33385 ivermektiini ja hydroklorokiinilla
myös.. toki se ei maksa juuri mitään
mutta ei saatavilla ilman reseptiä
täällä.</t>
  </si>
  <si>
    <t xml:space="preserve">maria33385
</t>
  </si>
  <si>
    <t>henri54106227
@PMeemit @ihmemimmi @TuomasEnbuske
Minä kuuntelen sun perustelut.
Ota huomioon seuraavat seikat:
- Pfizer (kyseenalainen maine &amp;amp;
lääkkeiden takaisinvedot) - Rokote
lieventää oireita, ei anna suojaa
- Korona ei tapa perusterveitä
- Ivermektiini ja vasta-aineet
saattaa parantaa koronasta ja suojata
kuukausitolkulla.</t>
  </si>
  <si>
    <t xml:space="preserve">tuomasenbuske
</t>
  </si>
  <si>
    <t xml:space="preserve">ihmemimmi
</t>
  </si>
  <si>
    <t xml:space="preserve">pmeemit
</t>
  </si>
  <si>
    <t xml:space="preserve">pirijanne
</t>
  </si>
  <si>
    <t xml:space="preserve">zirkkeli1
</t>
  </si>
  <si>
    <t xml:space="preserve">79tuuli
</t>
  </si>
  <si>
    <t xml:space="preserve">minna_talvitie
</t>
  </si>
  <si>
    <t xml:space="preserve">riku_ranta
</t>
  </si>
  <si>
    <t xml:space="preserve">nuuska
</t>
  </si>
  <si>
    <t xml:space="preserve">hsfi
</t>
  </si>
  <si>
    <t>artolehikoinen
@THLorg mites ivermektiini, injektiot
tuntuvat ruokkivan koronaa, mitä
enemmän piikkejä sen enemmän koronaa_xD83D__xDE44_</t>
  </si>
  <si>
    <t>apostkristitty
@ER_Korhola Olet ER_Korhola oikeassa
myös siksi, että Japanissa on halpa
Ivermektiini havaittu kymmeniä
kertoja tehokkaammaksi kuin nämä
keskeneräisesti (6 kk) testatut
mRNA rokotteet. Kantsii verrata
päivittäisiä tartuntatilastoja
Suomen ja Japanin välillä: https://t.co/f7kq6bwmtp
https://t.co/EfJnO0Kyo0</t>
  </si>
  <si>
    <t>haadrobin
@lasleh Mikäli täällä annettaisi
suositukset vitamiinien käytölle,
otettaisi ivermektiini käyttöön
sairastuneiden osalta ja lopetettaisi
piikitykset niin meillä ei olisi
koko tautia enää. Miksi meillä
siis on lääkefirmojen lobbarit
tekemässä tulonsiirtoa näille kun
parannuskeino löytyy?</t>
  </si>
  <si>
    <t>jarnosaukkorii1
@siniveikko @AnRajala @SarasvuoJari
Ivermektiini on liian halpa ja
patentti rauennut, joten sitä ei
lääketeollisuus suosittele</t>
  </si>
  <si>
    <t xml:space="preserve">anrajala
</t>
  </si>
  <si>
    <t>kissanviikset1
Ivermektiini käyttöön Suomessa!
(Rokotukset voidaan lopettaa) https://t.co/c950nH5DhG</t>
  </si>
  <si>
    <t>coolseppo
Ivermektiini käyttöön Suomessa!
(Rokotukset voidaan lopettaa) https://t.co/c950nH5DhG</t>
  </si>
  <si>
    <t xml:space="preserve">leanjuha
</t>
  </si>
  <si>
    <t xml:space="preserve">vainionpaaeero
</t>
  </si>
  <si>
    <t xml:space="preserve">anni_lahti_
</t>
  </si>
  <si>
    <t xml:space="preserve">jarnovirtanen2
</t>
  </si>
  <si>
    <t xml:space="preserve">satuhassi
</t>
  </si>
  <si>
    <t>jared_lyu
Ivermektiini käyttöön Suomessa!
(Rokotukset voidaan lopettaa) https://t.co/c950nH5DhG</t>
  </si>
  <si>
    <t>paulie880
Mitä Japani on tehnyt sellaista
jota Suomessa ei ole tehty? #ivermektiini
@mika_salminen @HNohynek https://t.co/2lxq6QVlTZ</t>
  </si>
  <si>
    <t>ekurzw
Ivermektiini käyttöön Suomessa!
(Rokotukset voidaan lopettaa) https://t.co/c950nH5DhG</t>
  </si>
  <si>
    <t>p_suvi
Ivermektiini käyttöön Suomessa!
(Rokotukset voidaan lopettaa) https://t.co/c950nH5DhG</t>
  </si>
  <si>
    <t>pauliin32733008
@MikaelJungner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</si>
  <si>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 xml:space="preserve">mikaeljungner
</t>
  </si>
  <si>
    <t>jt36292090
Ivermektiini käyttöön Suomessa!
(Rokotukset voidaan lopettaa) https://t.co/c950nH5DhG</t>
  </si>
  <si>
    <t>r_riitta
Ivermektiini käyttöön Suomessa!
(Rokotukset voidaan lopettaa) https://t.co/c950nH5DhG</t>
  </si>
  <si>
    <t>lestercdiamond
@hannu42 Rokotukset seis välittömästi.
Turvavälit, D3- ja C-vitamiinia
joka iikalle. Ja tautiin tehoaa
ivermektiini jos ei mene itekseen
ohi. Tässä lisää rokotteen haitallisuudesta
: https://t.co/0nsBfMX2bi</t>
  </si>
  <si>
    <t>clpssdnl
@leanvaltio @lauri_linden Ivermektiini
ei ole hoitokeino koronaan, joten
siinä varmaan se syy miksi sitä
ei saa helposti. Ei sulle varmaan
annettaisi lääkekannabistakaan
nielutulehdukseenkaan vaikka kuinka
vaatisit. Ja hyvä niin.</t>
  </si>
  <si>
    <t xml:space="preserve">lauri_linden
</t>
  </si>
  <si>
    <t>useyour_____
Ivermektiini käyttöön Suomessa!
(Rokotukset voidaan lopettaa) https://t.co/c950nH5DhG</t>
  </si>
  <si>
    <t>essihelminen
Ivermektiini käyttöön Suomessa!
(Rokotukset voidaan lopettaa) https://t.co/c950nH5DhG</t>
  </si>
  <si>
    <t>babutheemperor
@MikaelJungner Jos jotain täysin
uutta lääketuotetta halutaan vuoden
kokeilun jälkeen asettaa pakolliseksi
koko populaatioon, niin suhtaudun
skeptisesti. Olen lukenut historiaa.
Ja jos tuote on hyvä, ihmiset löytävät
tietoa tuotteen hyvyydestä ja ostavat
sen vaikka itse; vertaa ivermektiini.</t>
  </si>
  <si>
    <t>s___n_r_______n
@JukkaPetteriLa1 @MikaelJungner
"experimental basis" Eli kokeellinen
ivermektiini on ok, mutta kokeellinen
rokote ei?</t>
  </si>
  <si>
    <t xml:space="preserve">jukkapetterila1
</t>
  </si>
  <si>
    <t>vuokkovirkki
Ivermektiini käyttöön Suomessa!
(Rokotukset voidaan lopettaa) https://t.co/c950nH5DhG</t>
  </si>
  <si>
    <t xml:space="preserve">who
</t>
  </si>
  <si>
    <t xml:space="preserve">stm_uutiset
</t>
  </si>
  <si>
    <t xml:space="preserve">salineero
</t>
  </si>
  <si>
    <t>marquez_fi
@leanvaltio @MikaelJungner Kyllä,
Ivermektiini erinoimainen lääke!
_xD83D__xDCAA__xD83C__xDFFC_ (Syyhyyn)</t>
  </si>
  <si>
    <t>nestorihuuskon1
@Anttigee @ivanpuopolo Aloitetaan
vapauttamalla ivermektiini ruokakauppoihin.</t>
  </si>
  <si>
    <t xml:space="preserve">ivanpuopolo
</t>
  </si>
  <si>
    <t xml:space="preserve">anttigee
</t>
  </si>
  <si>
    <t>ehle81
@uusisuomi Ivermektiini toimii
kaikkiin variaintteihin!</t>
  </si>
  <si>
    <t xml:space="preserve">uusisuomi
</t>
  </si>
  <si>
    <t>iamantero
On se mukavaa, kun joku toistelee
samaa. Osa 1. Ivermektiini koronalääkehoitolistalla.
https://t.co/37KwPPNbhk</t>
  </si>
  <si>
    <t xml:space="preserve">soalmila
</t>
  </si>
  <si>
    <t xml:space="preserve">juhaniknuuti
</t>
  </si>
  <si>
    <t xml:space="preserve">mtvsuomi
</t>
  </si>
  <si>
    <t xml:space="preserve">timo_lappi
</t>
  </si>
  <si>
    <t xml:space="preserve">minnaeck
</t>
  </si>
  <si>
    <t xml:space="preserve">a28748626
</t>
  </si>
  <si>
    <t xml:space="preserve">xxxeerh
</t>
  </si>
  <si>
    <t>turnukkaparta
Ivermektiini käyttöön Suomessa!
(Rokotukset voidaan lopettaa) https://t.co/c950nH5DhG</t>
  </si>
  <si>
    <t>pesakauha
@panu_saarela @turnukkaparta @AilaVilen
@KaariRossi @iltasanomat Veikkaan,
että paaaljon parempi. Viimevuonna
ei ollut piikkiä eikä ylikuolleisuutta.
Nyt on piikki sekä ylikuolleisuus.
Kuten monessa muussakin maassa.
Ilman piikkiä meillä olisi ivermektiini
ja monta kuolemaa vältetty puhumattakaan
haittavaikutuksista…</t>
  </si>
  <si>
    <t xml:space="preserve">perttipiirto
</t>
  </si>
  <si>
    <t xml:space="preserve">kaarirossi
</t>
  </si>
  <si>
    <t xml:space="preserve">ailavilen
</t>
  </si>
  <si>
    <t xml:space="preserve">panu_saarela
</t>
  </si>
  <si>
    <t>kankioy
@PuolimatkaTapio Koronapassin ja
tartuntojen lisääntymiset korreloivat,
ja syykin on selvä: passilla pääsevät
jopa sairaat vapaasti luuhaamaan
missä vain. Ainoa poikkeus on Japani,
mutta siellähän ei luuhata passillakaan
vapaasti ja lisäksi siellä on kunnon
lääkkeet kotonaan eli ivermektiini.</t>
  </si>
  <si>
    <t xml:space="preserve">puolimatkatapio
</t>
  </si>
  <si>
    <t>icecleverheart
@InvestorImagin1 @KoomikkoKivi
Samoilla linjoilla. Lisäksi piikille
olisi turvallisempikin lääkitys
tarjolla, mutta sitä ei poliittisista
syistä suositella, jenkeissä jopa
kielletty ivermektiini. Sillä on
saavutettu loistavia hoitotuloksia,
esim japanissa, intiassaa, indonesiassa...
https://t.co/eOsVr9LVgu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</si>
  <si>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</si>
  <si>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</si>
  <si>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</si>
  <si>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</si>
  <si>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</si>
  <si>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</si>
  <si>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</si>
  <si>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</si>
  <si>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</si>
  <si>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</si>
  <si>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</si>
  <si>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</si>
  <si>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</si>
  <si>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</si>
  <si>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</si>
  <si>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</si>
  <si>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</si>
  <si>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</si>
  <si>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</si>
  <si>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</si>
  <si>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</si>
  <si>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</si>
  <si>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</si>
  <si>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</si>
  <si>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</si>
  <si>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</si>
  <si>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</si>
  <si>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</si>
  <si>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</si>
  <si>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</si>
  <si>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</si>
  <si>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</si>
  <si>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</si>
  <si>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</si>
  <si>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</si>
  <si>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</si>
  <si>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</si>
  <si>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</si>
  <si>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</si>
  <si>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</si>
  <si>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</si>
  <si>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</si>
  <si>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</si>
  <si>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</si>
  <si>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</si>
  <si>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</si>
  <si>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</si>
  <si>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</si>
  <si>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</si>
  <si>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</si>
  <si>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</si>
  <si>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</si>
  <si>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</si>
  <si>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</si>
  <si>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</si>
  <si>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</si>
  <si>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</si>
  <si>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</si>
  <si>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</si>
  <si>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</si>
  <si>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</si>
  <si>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</si>
  <si>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suomessa</t>
  </si>
  <si>
    <t>käyttöön</t>
  </si>
  <si>
    <t>#ivermektiini</t>
  </si>
  <si>
    <t>hydroksiklorokiini</t>
  </si>
  <si>
    <t>aineet</t>
  </si>
  <si>
    <t>käytössä</t>
  </si>
  <si>
    <t>vaikuttavat</t>
  </si>
  <si>
    <t>aprotiniini</t>
  </si>
  <si>
    <t>tunnettuja</t>
  </si>
  <si>
    <t>uudessa</t>
  </si>
  <si>
    <t>lääkkeessä</t>
  </si>
  <si>
    <t>käytettävät</t>
  </si>
  <si>
    <t>laajalti</t>
  </si>
  <si>
    <t>rokotukset</t>
  </si>
  <si>
    <t>japanissa</t>
  </si>
  <si>
    <t>japani</t>
  </si>
  <si>
    <t>sellaista</t>
  </si>
  <si>
    <t>ihmiset</t>
  </si>
  <si>
    <t>tehnyt</t>
  </si>
  <si>
    <t>tehty</t>
  </si>
  <si>
    <t>tietoa</t>
  </si>
  <si>
    <t>lääke</t>
  </si>
  <si>
    <t>hevosten</t>
  </si>
  <si>
    <t>lopettaa</t>
  </si>
  <si>
    <t>jaa</t>
  </si>
  <si>
    <t>koronan</t>
  </si>
  <si>
    <t>julkaiskaa</t>
  </si>
  <si>
    <t>tarkka</t>
  </si>
  <si>
    <t>listaus</t>
  </si>
  <si>
    <t>sairaalahoitoon</t>
  </si>
  <si>
    <t>joutuneiden</t>
  </si>
  <si>
    <t>koronapotilaiden</t>
  </si>
  <si>
    <t>ikäjakaumasta</t>
  </si>
  <si>
    <t>painoindeksistä</t>
  </si>
  <si>
    <t>sairauksien</t>
  </si>
  <si>
    <t>lääkitysten</t>
  </si>
  <si>
    <t>roolista</t>
  </si>
  <si>
    <t>vapauttakaa</t>
  </si>
  <si>
    <t>lopettakaa</t>
  </si>
  <si>
    <t>puheet</t>
  </si>
  <si>
    <t>koronapassista</t>
  </si>
  <si>
    <t>pakosta</t>
  </si>
  <si>
    <t>rakenna</t>
  </si>
  <si>
    <t>luottamusta</t>
  </si>
  <si>
    <t>d</t>
  </si>
  <si>
    <t>lääkkeet</t>
  </si>
  <si>
    <t>toimi</t>
  </si>
  <si>
    <t>ihmisille</t>
  </si>
  <si>
    <t>mm</t>
  </si>
  <si>
    <t>rokote</t>
  </si>
  <si>
    <t>hyväksytty</t>
  </si>
  <si>
    <t>pfizerin</t>
  </si>
  <si>
    <t>suomessakin</t>
  </si>
  <si>
    <t>toimii</t>
  </si>
  <si>
    <t>koronaan</t>
  </si>
  <si>
    <t>c</t>
  </si>
  <si>
    <t>korona</t>
  </si>
  <si>
    <t>matolääke</t>
  </si>
  <si>
    <t>mrna</t>
  </si>
  <si>
    <t>siinähän</t>
  </si>
  <si>
    <t>matolääkettä</t>
  </si>
  <si>
    <t>käyttöä</t>
  </si>
  <si>
    <t>ylen</t>
  </si>
  <si>
    <t>kirjeenvaihtaja</t>
  </si>
  <si>
    <t>päivitteli</t>
  </si>
  <si>
    <t>itävallassa</t>
  </si>
  <si>
    <t>todetut</t>
  </si>
  <si>
    <t>vitamiinin</t>
  </si>
  <si>
    <t>sinkin</t>
  </si>
  <si>
    <t>esim</t>
  </si>
  <si>
    <t>huomattavasti</t>
  </si>
  <si>
    <t>rokotteet</t>
  </si>
  <si>
    <t>tilalle</t>
  </si>
  <si>
    <t>saa</t>
  </si>
  <si>
    <t>rokotteen</t>
  </si>
  <si>
    <t>huono</t>
  </si>
  <si>
    <t>pelastaja</t>
  </si>
  <si>
    <t>ivermektiinin</t>
  </si>
  <si>
    <t>covid</t>
  </si>
  <si>
    <t>koronaa</t>
  </si>
  <si>
    <t>amp</t>
  </si>
  <si>
    <t>lääkitys</t>
  </si>
  <si>
    <t>näyttää</t>
  </si>
  <si>
    <t>virus</t>
  </si>
  <si>
    <t>kuole</t>
  </si>
  <si>
    <t>jenkeissä</t>
  </si>
  <si>
    <t>halpa</t>
  </si>
  <si>
    <t>lääkefirmojen</t>
  </si>
  <si>
    <t>19</t>
  </si>
  <si>
    <t>ottaa</t>
  </si>
  <si>
    <t>usa</t>
  </si>
  <si>
    <t>ssa</t>
  </si>
  <si>
    <t>intiassa</t>
  </si>
  <si>
    <t>oikeasti</t>
  </si>
  <si>
    <t>maissa</t>
  </si>
  <si>
    <t>veikkaat</t>
  </si>
  <si>
    <t>hirveästi</t>
  </si>
  <si>
    <t>puhuta</t>
  </si>
  <si>
    <t>suositella</t>
  </si>
  <si>
    <t>syistä</t>
  </si>
  <si>
    <t>ottakaa</t>
  </si>
  <si>
    <t>ihmeessä</t>
  </si>
  <si>
    <t>pysäytti</t>
  </si>
  <si>
    <t>jne</t>
  </si>
  <si>
    <t>suomen</t>
  </si>
  <si>
    <t>pois</t>
  </si>
  <si>
    <t>tehokas</t>
  </si>
  <si>
    <t>saanut</t>
  </si>
  <si>
    <t>lukenut</t>
  </si>
  <si>
    <t>tuotteen</t>
  </si>
  <si>
    <t>edullinen</t>
  </si>
  <si>
    <t>lihota</t>
  </si>
  <si>
    <t>kassaa</t>
  </si>
  <si>
    <t>kassasta</t>
  </si>
  <si>
    <t>lahjoa</t>
  </si>
  <si>
    <t>poliitikkoja</t>
  </si>
  <si>
    <t>mengeleitä</t>
  </si>
  <si>
    <t>lääkkeen</t>
  </si>
  <si>
    <t>oletko</t>
  </si>
  <si>
    <t>3</t>
  </si>
  <si>
    <t>ota</t>
  </si>
  <si>
    <t>loislääke</t>
  </si>
  <si>
    <t>hoitoon</t>
  </si>
  <si>
    <t>toimivat</t>
  </si>
  <si>
    <t>ennenkuin</t>
  </si>
  <si>
    <t>ivermektiiniä</t>
  </si>
  <si>
    <t>oliko</t>
  </si>
  <si>
    <t>loisten</t>
  </si>
  <si>
    <t>lääkettä</t>
  </si>
  <si>
    <t>taitaa</t>
  </si>
  <si>
    <t>mattimuukkonen</t>
  </si>
  <si>
    <t>kuollut</t>
  </si>
  <si>
    <t>vaikuttaa</t>
  </si>
  <si>
    <t>samoilla</t>
  </si>
  <si>
    <t>linjoilla</t>
  </si>
  <si>
    <t>piikille</t>
  </si>
  <si>
    <t>turvallisempikin</t>
  </si>
  <si>
    <t>tarjolla</t>
  </si>
  <si>
    <t>poliittisista</t>
  </si>
  <si>
    <t>kielletty</t>
  </si>
  <si>
    <t>saavutettu</t>
  </si>
  <si>
    <t>loistavia</t>
  </si>
  <si>
    <t>hoitotuloksia</t>
  </si>
  <si>
    <t>intiassaa</t>
  </si>
  <si>
    <t>indonesiassa</t>
  </si>
  <si>
    <t>merckin</t>
  </si>
  <si>
    <t>elimistöön</t>
  </si>
  <si>
    <t>hoidossa</t>
  </si>
  <si>
    <t>oletteko</t>
  </si>
  <si>
    <t>tuloksia</t>
  </si>
  <si>
    <t>denialisti</t>
  </si>
  <si>
    <t>vapaasti</t>
  </si>
  <si>
    <t>piikki</t>
  </si>
  <si>
    <t>pitäisi</t>
  </si>
  <si>
    <t>nousuun</t>
  </si>
  <si>
    <t>kokeellinen</t>
  </si>
  <si>
    <t>mites</t>
  </si>
  <si>
    <t>kuulemma</t>
  </si>
  <si>
    <t>lääketuotetta</t>
  </si>
  <si>
    <t>halutaan</t>
  </si>
  <si>
    <t>kokeilun</t>
  </si>
  <si>
    <t>asettaa</t>
  </si>
  <si>
    <t>pakolliseksi</t>
  </si>
  <si>
    <t>populaatioon</t>
  </si>
  <si>
    <t>suhtaudun</t>
  </si>
  <si>
    <t>skeptisesti</t>
  </si>
  <si>
    <t>historiaa</t>
  </si>
  <si>
    <t>tuote</t>
  </si>
  <si>
    <t>löytävät</t>
  </si>
  <si>
    <t>hyvyydestä</t>
  </si>
  <si>
    <t>ostavat</t>
  </si>
  <si>
    <t>vertaa</t>
  </si>
  <si>
    <t>sulle</t>
  </si>
  <si>
    <t>vitamiinia</t>
  </si>
  <si>
    <t>tehoaa</t>
  </si>
  <si>
    <t>asiantuntijoita</t>
  </si>
  <si>
    <t>koronapassi</t>
  </si>
  <si>
    <t>rokottamattomat</t>
  </si>
  <si>
    <t>tutkimusta</t>
  </si>
  <si>
    <t>käytännössä</t>
  </si>
  <si>
    <t>suosittele</t>
  </si>
  <si>
    <t>piikkejä</t>
  </si>
  <si>
    <t>tutkimuksia</t>
  </si>
  <si>
    <t>estäisi</t>
  </si>
  <si>
    <t>5g</t>
  </si>
  <si>
    <t>tasolla</t>
  </si>
  <si>
    <t>ihmisen</t>
  </si>
  <si>
    <t>kuuluu</t>
  </si>
  <si>
    <t>anna</t>
  </si>
  <si>
    <t>saattaa</t>
  </si>
  <si>
    <t>koronasta</t>
  </si>
  <si>
    <t>saatavilla</t>
  </si>
  <si>
    <t>reseptiä</t>
  </si>
  <si>
    <t>tutut</t>
  </si>
  <si>
    <t>särkylääkkeet</t>
  </si>
  <si>
    <t>useammilla</t>
  </si>
  <si>
    <t>yhdellä</t>
  </si>
  <si>
    <t>nisäkkäällä</t>
  </si>
  <si>
    <t>hevosille</t>
  </si>
  <si>
    <t>viimeksimainituille</t>
  </si>
  <si>
    <t>pienempinä</t>
  </si>
  <si>
    <t>annoksina</t>
  </si>
  <si>
    <t>selvää</t>
  </si>
  <si>
    <t>asioista</t>
  </si>
  <si>
    <t>piippaat</t>
  </si>
  <si>
    <t>intiaa</t>
  </si>
  <si>
    <t>osassa</t>
  </si>
  <si>
    <t>sai</t>
  </si>
  <si>
    <t>lähti</t>
  </si>
  <si>
    <t>sanoi</t>
  </si>
  <si>
    <t>ns</t>
  </si>
  <si>
    <t>perehtyneet</t>
  </si>
  <si>
    <t>lol</t>
  </si>
  <si>
    <t>kehitetty</t>
  </si>
  <si>
    <t>useissa</t>
  </si>
  <si>
    <t>aineita</t>
  </si>
  <si>
    <t>tehdäänkö</t>
  </si>
  <si>
    <t>rokotetuista</t>
  </si>
  <si>
    <t>kuolleista</t>
  </si>
  <si>
    <t>samanlaisia</t>
  </si>
  <si>
    <t>tarinoita</t>
  </si>
  <si>
    <t>uutisia</t>
  </si>
  <si>
    <t>tapauksesta</t>
  </si>
  <si>
    <t>rokottamaton</t>
  </si>
  <si>
    <t>entä</t>
  </si>
  <si>
    <t>kuolleella</t>
  </si>
  <si>
    <t>sairauksia</t>
  </si>
  <si>
    <t>laiminlyötiinkö</t>
  </si>
  <si>
    <t>hoitojen</t>
  </si>
  <si>
    <t>käyttö</t>
  </si>
  <si>
    <t>auttaa</t>
  </si>
  <si>
    <t>ivm</t>
  </si>
  <si>
    <t>suomalaisen</t>
  </si>
  <si>
    <t>koronalääkkeen</t>
  </si>
  <si>
    <t>myyntilupaa</t>
  </si>
  <si>
    <t>vaikuttavista</t>
  </si>
  <si>
    <t>aineista</t>
  </si>
  <si>
    <t>turvallinen</t>
  </si>
  <si>
    <t>lääkeaine</t>
  </si>
  <si>
    <t>ivermektiinillä</t>
  </si>
  <si>
    <t>paxlovid</t>
  </si>
  <si>
    <t>luultavasti</t>
  </si>
  <si>
    <t>vitamiini</t>
  </si>
  <si>
    <t>tehoa</t>
  </si>
  <si>
    <t>ivermektiinistä</t>
  </si>
  <si>
    <t>haittaakaan</t>
  </si>
  <si>
    <t>lääkeaineiden</t>
  </si>
  <si>
    <t>vähänniinku</t>
  </si>
  <si>
    <t>just</t>
  </si>
  <si>
    <t>tarkoitus</t>
  </si>
  <si>
    <t>käyttöturvallisuustiedote</t>
  </si>
  <si>
    <t>todistetusti</t>
  </si>
  <si>
    <t>piikit</t>
  </si>
  <si>
    <t>hoi</t>
  </si>
  <si>
    <t>kannabisaktiivit</t>
  </si>
  <si>
    <t>ajatelleet</t>
  </si>
  <si>
    <t>lääkekannabis</t>
  </si>
  <si>
    <t>yllättävän</t>
  </si>
  <si>
    <t>yhtäläisiä</t>
  </si>
  <si>
    <t>tekijöitä</t>
  </si>
  <si>
    <t>olennainen</t>
  </si>
  <si>
    <t>ero</t>
  </si>
  <si>
    <t>minkä</t>
  </si>
  <si>
    <t>ymmärrätte</t>
  </si>
  <si>
    <t>lääketieteellisen</t>
  </si>
  <si>
    <t>potentiaalin</t>
  </si>
  <si>
    <t>asiantuntijat</t>
  </si>
  <si>
    <t>löydä</t>
  </si>
  <si>
    <t>kummankaan</t>
  </si>
  <si>
    <t>samasta</t>
  </si>
  <si>
    <t>syystä</t>
  </si>
  <si>
    <t>tartuntojen</t>
  </si>
  <si>
    <t>kunnon</t>
  </si>
  <si>
    <t>viimevuonna</t>
  </si>
  <si>
    <t>piikkiä</t>
  </si>
  <si>
    <t>ylikuolleisuus</t>
  </si>
  <si>
    <t>päinvastoin</t>
  </si>
  <si>
    <t>vaihtoehto</t>
  </si>
  <si>
    <t>lääkkeiden</t>
  </si>
  <si>
    <t>osalta</t>
  </si>
  <si>
    <t>onhan</t>
  </si>
  <si>
    <t>yhdysvalloissa</t>
  </si>
  <si>
    <t>osa</t>
  </si>
  <si>
    <t>1</t>
  </si>
  <si>
    <t>kaikkiin</t>
  </si>
  <si>
    <t>nobelin</t>
  </si>
  <si>
    <t>puhua</t>
  </si>
  <si>
    <t>varmaan</t>
  </si>
  <si>
    <t>annettaisi</t>
  </si>
  <si>
    <t>seis</t>
  </si>
  <si>
    <t>turvavälit</t>
  </si>
  <si>
    <t>d3</t>
  </si>
  <si>
    <t>iikalle</t>
  </si>
  <si>
    <t>nousee</t>
  </si>
  <si>
    <t>rokotetuotteen</t>
  </si>
  <si>
    <t>valita</t>
  </si>
  <si>
    <t>saisi</t>
  </si>
  <si>
    <t>afrikan</t>
  </si>
  <si>
    <t>usko</t>
  </si>
  <si>
    <t>todettu</t>
  </si>
  <si>
    <t>toimivan</t>
  </si>
  <si>
    <t>havaittu</t>
  </si>
  <si>
    <t>tartuntatilastoja</t>
  </si>
  <si>
    <t>japanin</t>
  </si>
  <si>
    <t>injektiot</t>
  </si>
  <si>
    <t>tuntuvat</t>
  </si>
  <si>
    <t>ruokkivan</t>
  </si>
  <si>
    <t>missään</t>
  </si>
  <si>
    <t>osoittautunut</t>
  </si>
  <si>
    <t>käytön</t>
  </si>
  <si>
    <t>tehokkaaksi</t>
  </si>
  <si>
    <t>maista</t>
  </si>
  <si>
    <t>kyseenalainen</t>
  </si>
  <si>
    <t>covidin</t>
  </si>
  <si>
    <t>pointti</t>
  </si>
  <si>
    <t>selittää</t>
  </si>
  <si>
    <t>mun</t>
  </si>
  <si>
    <t>hoitamiseen</t>
  </si>
  <si>
    <t>väärin</t>
  </si>
  <si>
    <t>löytänyt</t>
  </si>
  <si>
    <t>tapaukset</t>
  </si>
  <si>
    <t>2</t>
  </si>
  <si>
    <t>tautitapaukset</t>
  </si>
  <si>
    <t>laskuun</t>
  </si>
  <si>
    <t>lopetettiin</t>
  </si>
  <si>
    <t>jyrkkään</t>
  </si>
  <si>
    <t>ois</t>
  </si>
  <si>
    <t>no</t>
  </si>
  <si>
    <t>tarkoitettu</t>
  </si>
  <si>
    <t>salaliittoteoreetikot</t>
  </si>
  <si>
    <t>selvästi</t>
  </si>
  <si>
    <t>aiheisiin</t>
  </si>
  <si>
    <t>keskiverto</t>
  </si>
  <si>
    <t>lmao</t>
  </si>
  <si>
    <t>huutelijat</t>
  </si>
  <si>
    <t>tietenkään</t>
  </si>
  <si>
    <t>tee</t>
  </si>
  <si>
    <t>salaliittoteoreetikoistakaan</t>
  </si>
  <si>
    <t>paremmalta</t>
  </si>
  <si>
    <t>pihalla</t>
  </si>
  <si>
    <t>lehdessä</t>
  </si>
  <si>
    <t>tae</t>
  </si>
  <si>
    <t>iv</t>
  </si>
  <si>
    <t>joutumista</t>
  </si>
  <si>
    <t>millään</t>
  </si>
  <si>
    <t>valitettavasti</t>
  </si>
  <si>
    <t>toimia</t>
  </si>
  <si>
    <t>haittaa</t>
  </si>
  <si>
    <t>virusten</t>
  </si>
  <si>
    <t>synnytettyyn</t>
  </si>
  <si>
    <t>olemattomaan</t>
  </si>
  <si>
    <t>plandemiaan</t>
  </si>
  <si>
    <t>variantteja</t>
  </si>
  <si>
    <t>muuntautunut</t>
  </si>
  <si>
    <t>vanha</t>
  </si>
  <si>
    <t>mutatoitunut</t>
  </si>
  <si>
    <t>olikaan</t>
  </si>
  <si>
    <t>ihmisten</t>
  </si>
  <si>
    <t>loisia</t>
  </si>
  <si>
    <t>laillista</t>
  </si>
  <si>
    <t>loisiin</t>
  </si>
  <si>
    <t>estä</t>
  </si>
  <si>
    <t>tehohoitoon</t>
  </si>
  <si>
    <t>tehokkaasti</t>
  </si>
  <si>
    <t>tappaa</t>
  </si>
  <si>
    <t>lääkeaineet</t>
  </si>
  <si>
    <t>niihin</t>
  </si>
  <si>
    <t>100</t>
  </si>
  <si>
    <t>toimisi</t>
  </si>
  <si>
    <t>otettiin</t>
  </si>
  <si>
    <t>käytetään</t>
  </si>
  <si>
    <t>nobel</t>
  </si>
  <si>
    <t>palkinnon</t>
  </si>
  <si>
    <t>n</t>
  </si>
  <si>
    <t>piikillä</t>
  </si>
  <si>
    <t>molnupiravir</t>
  </si>
  <si>
    <t>pilkkaat</t>
  </si>
  <si>
    <t>uskonut</t>
  </si>
  <si>
    <t>pelkkää</t>
  </si>
  <si>
    <t>propagandaa</t>
  </si>
  <si>
    <t>tutustumatta</t>
  </si>
  <si>
    <t>taustoihin</t>
  </si>
  <si>
    <t>turvallisempi</t>
  </si>
  <si>
    <t>lääkeen</t>
  </si>
  <si>
    <t>ennestään</t>
  </si>
  <si>
    <t>pandemian</t>
  </si>
  <si>
    <t>käyttää</t>
  </si>
  <si>
    <t>sanoo</t>
  </si>
  <si>
    <t>rokotettuja</t>
  </si>
  <si>
    <t>vuotavat</t>
  </si>
  <si>
    <t>noh</t>
  </si>
  <si>
    <t>kausi</t>
  </si>
  <si>
    <t>tappava</t>
  </si>
  <si>
    <t>rokotteiden</t>
  </si>
  <si>
    <t>määrätään</t>
  </si>
  <si>
    <t>tuhansia</t>
  </si>
  <si>
    <t>lääkkeitä</t>
  </si>
  <si>
    <t>rokoteuskovaiset</t>
  </si>
  <si>
    <t>tä</t>
  </si>
  <si>
    <t>brändinimiä</t>
  </si>
  <si>
    <t>burana</t>
  </si>
  <si>
    <t>eikö</t>
  </si>
  <si>
    <t>juu</t>
  </si>
  <si>
    <t>taisivat</t>
  </si>
  <si>
    <t>ottaakin</t>
  </si>
  <si>
    <t>hävisi</t>
  </si>
  <si>
    <t>nimi</t>
  </si>
  <si>
    <t>ikääkin</t>
  </si>
  <si>
    <t>parikymmentä</t>
  </si>
  <si>
    <t>muutenkin</t>
  </si>
  <si>
    <t>körönäkööri</t>
  </si>
  <si>
    <t>estää</t>
  </si>
  <si>
    <t>tabletti</t>
  </si>
  <si>
    <t>hoidolla</t>
  </si>
  <si>
    <t>ilmainen</t>
  </si>
  <si>
    <t>lääkejättien</t>
  </si>
  <si>
    <t>patentteja</t>
  </si>
  <si>
    <t>rokotetut</t>
  </si>
  <si>
    <t>tällainen</t>
  </si>
  <si>
    <t>koronataudin</t>
  </si>
  <si>
    <t>saaneen</t>
  </si>
  <si>
    <t>hämmentynyt</t>
  </si>
  <si>
    <t>reaktio</t>
  </si>
  <si>
    <t>pyysi</t>
  </si>
  <si>
    <t>lääkäriltä</t>
  </si>
  <si>
    <t>lääkäri</t>
  </si>
  <si>
    <t>haista</t>
  </si>
  <si>
    <t>vittu</t>
  </si>
  <si>
    <t>paska</t>
  </si>
  <si>
    <t>perselääke</t>
  </si>
  <si>
    <t>porukkaa</t>
  </si>
  <si>
    <t>periaatteen</t>
  </si>
  <si>
    <t>silta</t>
  </si>
  <si>
    <t>#suomessa</t>
  </si>
  <si>
    <t>aiheutetaan</t>
  </si>
  <si>
    <t>tahalleen</t>
  </si>
  <si>
    <t>#koronakriisi</t>
  </si>
  <si>
    <t>hallituksen</t>
  </si>
  <si>
    <t>toimesta</t>
  </si>
  <si>
    <t>suomalaisilta</t>
  </si>
  <si>
    <t>rajoitetaan</t>
  </si>
  <si>
    <t>kansa</t>
  </si>
  <si>
    <t>kärsi</t>
  </si>
  <si>
    <t>#rokonarokote</t>
  </si>
  <si>
    <t>ratkaisu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</si>
  <si>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</si>
  <si>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</si>
  <si>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</si>
  <si>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</si>
  <si>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</si>
  <si>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</si>
  <si>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</si>
  <si>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</si>
  <si>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</si>
  <si>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</si>
  <si>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</si>
  <si>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</si>
  <si>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</si>
  <si>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</si>
  <si>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</si>
  <si>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</si>
  <si>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</si>
  <si>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</si>
  <si>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</si>
  <si>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</si>
  <si>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</si>
  <si>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</si>
  <si>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</si>
  <si>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</si>
  <si>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</si>
  <si>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</si>
  <si>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</si>
  <si>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</si>
  <si>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</si>
  <si>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</si>
  <si>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PuolimatkaTapio</t>
  </si>
  <si>
    <t>Koronapassin</t>
  </si>
  <si>
    <t>ja</t>
  </si>
  <si>
    <t>lisääntymiset</t>
  </si>
  <si>
    <t>korreloivat</t>
  </si>
  <si>
    <t>syykin</t>
  </si>
  <si>
    <t>on</t>
  </si>
  <si>
    <t>selvä</t>
  </si>
  <si>
    <t>passilla</t>
  </si>
  <si>
    <t>pääsevät</t>
  </si>
  <si>
    <t>jopa</t>
  </si>
  <si>
    <t>sairaat</t>
  </si>
  <si>
    <t>luuhaamaan</t>
  </si>
  <si>
    <t>missä</t>
  </si>
  <si>
    <t>vain</t>
  </si>
  <si>
    <t>Ainoa</t>
  </si>
  <si>
    <t>poikkeus</t>
  </si>
  <si>
    <t>Japani</t>
  </si>
  <si>
    <t>mutta</t>
  </si>
  <si>
    <t>siellähän</t>
  </si>
  <si>
    <t>ei</t>
  </si>
  <si>
    <t>luuhata</t>
  </si>
  <si>
    <t>passillakaan</t>
  </si>
  <si>
    <t>lisäksi</t>
  </si>
  <si>
    <t>siellä</t>
  </si>
  <si>
    <t>kotonaan</t>
  </si>
  <si>
    <t>eli</t>
  </si>
  <si>
    <t>AilaVilen</t>
  </si>
  <si>
    <t>KaariRossi</t>
  </si>
  <si>
    <t>Veikkaan</t>
  </si>
  <si>
    <t>että</t>
  </si>
  <si>
    <t>paaaljon</t>
  </si>
  <si>
    <t>parempi</t>
  </si>
  <si>
    <t>Viimevuonna</t>
  </si>
  <si>
    <t>ollut</t>
  </si>
  <si>
    <t>eikä</t>
  </si>
  <si>
    <t>ylikuolleisuutta</t>
  </si>
  <si>
    <t>Nyt</t>
  </si>
  <si>
    <t>sekä</t>
  </si>
  <si>
    <t>Kuten</t>
  </si>
  <si>
    <t>monessa</t>
  </si>
  <si>
    <t>muussakin</t>
  </si>
  <si>
    <t>maassa</t>
  </si>
  <si>
    <t>Ilman</t>
  </si>
  <si>
    <t>meillä</t>
  </si>
  <si>
    <t>olisi</t>
  </si>
  <si>
    <t>monta</t>
  </si>
  <si>
    <t>kuolemaa</t>
  </si>
  <si>
    <t>vältetty</t>
  </si>
  <si>
    <t>puhumattakaan</t>
  </si>
  <si>
    <t>haittavaikutuksista</t>
  </si>
  <si>
    <t>PerttiPiirto</t>
  </si>
  <si>
    <t>Jenkeissä</t>
  </si>
  <si>
    <t>asia</t>
  </si>
  <si>
    <t>Jos</t>
  </si>
  <si>
    <t>todettais</t>
  </si>
  <si>
    <t>toimivaksi</t>
  </si>
  <si>
    <t>se</t>
  </si>
  <si>
    <t>katkaisisi</t>
  </si>
  <si>
    <t>piikkihommat</t>
  </si>
  <si>
    <t>täysin</t>
  </si>
  <si>
    <t>koska</t>
  </si>
  <si>
    <t>heidän</t>
  </si>
  <si>
    <t>laissaan</t>
  </si>
  <si>
    <t>viimonen</t>
  </si>
  <si>
    <t>Siksi</t>
  </si>
  <si>
    <t>sitä</t>
  </si>
  <si>
    <t>sensuroidaan</t>
  </si>
  <si>
    <t>mustamaalataan</t>
  </si>
  <si>
    <t>Ivermektiini</t>
  </si>
  <si>
    <t>Suomessa</t>
  </si>
  <si>
    <t>Rokotukset</t>
  </si>
  <si>
    <t>voidaan</t>
  </si>
  <si>
    <t>reseptillä</t>
  </si>
  <si>
    <t>myytävä</t>
  </si>
  <si>
    <t>kalliimpaa</t>
  </si>
  <si>
    <t>kuin</t>
  </si>
  <si>
    <t>maailmalla</t>
  </si>
  <si>
    <t>Onko</t>
  </si>
  <si>
    <t>näin</t>
  </si>
  <si>
    <t>muidenkin</t>
  </si>
  <si>
    <t>Paljonko</t>
  </si>
  <si>
    <t>Suomen</t>
  </si>
  <si>
    <t>lääkemenoissa</t>
  </si>
  <si>
    <t>vedetään</t>
  </si>
  <si>
    <t>välistä</t>
  </si>
  <si>
    <t>Lopulta</t>
  </si>
  <si>
    <t>kuitenkin</t>
  </si>
  <si>
    <t>kaikesta</t>
  </si>
  <si>
    <t>muusta</t>
  </si>
  <si>
    <t>taloudesta</t>
  </si>
  <si>
    <t>MTVSuomi</t>
  </si>
  <si>
    <t>Miksi</t>
  </si>
  <si>
    <t>kaikkia</t>
  </si>
  <si>
    <t>kannustaa</t>
  </si>
  <si>
    <t>ottamaan</t>
  </si>
  <si>
    <t>kokeelliset</t>
  </si>
  <si>
    <t>vaaralliset</t>
  </si>
  <si>
    <t>Koronarokotusten</t>
  </si>
  <si>
    <t>myötä</t>
  </si>
  <si>
    <t>kokonaiskuolleisuus</t>
  </si>
  <si>
    <t>kääntynyt</t>
  </si>
  <si>
    <t>kesästä</t>
  </si>
  <si>
    <t>alkaen</t>
  </si>
  <si>
    <t>jo</t>
  </si>
  <si>
    <t>melkein</t>
  </si>
  <si>
    <t>henkeä</t>
  </si>
  <si>
    <t>keskeyttää</t>
  </si>
  <si>
    <t>muut</t>
  </si>
  <si>
    <t>JuhaniKnuuti</t>
  </si>
  <si>
    <t>Tommi_Kinnunen</t>
  </si>
  <si>
    <t>MVirtanen</t>
  </si>
  <si>
    <t>Muhisazizi</t>
  </si>
  <si>
    <t>Onhan</t>
  </si>
  <si>
    <t>tuo</t>
  </si>
  <si>
    <t>vahingossa</t>
  </si>
  <si>
    <t>lipsahtanut</t>
  </si>
  <si>
    <t>listoille</t>
  </si>
  <si>
    <t>sitten</t>
  </si>
  <si>
    <t>virallisesti</t>
  </si>
  <si>
    <t>vai</t>
  </si>
  <si>
    <t>vasta</t>
  </si>
  <si>
    <t>ai</t>
  </si>
  <si>
    <t>tämän</t>
  </si>
  <si>
    <t>vuoden</t>
  </si>
  <si>
    <t>trendisana</t>
  </si>
  <si>
    <t>On</t>
  </si>
  <si>
    <t>mukavaa</t>
  </si>
  <si>
    <t>kun</t>
  </si>
  <si>
    <t>joku</t>
  </si>
  <si>
    <t>toistelee</t>
  </si>
  <si>
    <t>samaa</t>
  </si>
  <si>
    <t>Osa</t>
  </si>
  <si>
    <t>koronalääkehoitolistalla</t>
  </si>
  <si>
    <t>variaintteihin</t>
  </si>
  <si>
    <t>Anttigee</t>
  </si>
  <si>
    <t>Aloitetaan</t>
  </si>
  <si>
    <t>vapauttamalla</t>
  </si>
  <si>
    <t>ruokakauppoihin</t>
  </si>
  <si>
    <t>MikaelJungner</t>
  </si>
  <si>
    <t>Kyllä</t>
  </si>
  <si>
    <t>erinoimainen</t>
  </si>
  <si>
    <t>Syyhyyn</t>
  </si>
  <si>
    <t>THLorg</t>
  </si>
  <si>
    <t>SalinEero</t>
  </si>
  <si>
    <t>STM_Uutiset</t>
  </si>
  <si>
    <t>WHO</t>
  </si>
  <si>
    <t>TomiAalto3</t>
  </si>
  <si>
    <t>paras</t>
  </si>
  <si>
    <t>tähän</t>
  </si>
  <si>
    <t>Se</t>
  </si>
  <si>
    <t>Nobelin</t>
  </si>
  <si>
    <t>palkinnonkin</t>
  </si>
  <si>
    <t>Mutta</t>
  </si>
  <si>
    <t>siitä</t>
  </si>
  <si>
    <t>JukkaPetteriLa1</t>
  </si>
  <si>
    <t>experimental</t>
  </si>
  <si>
    <t>basis</t>
  </si>
  <si>
    <t>Eli</t>
  </si>
  <si>
    <t>ok</t>
  </si>
  <si>
    <t>jotain</t>
  </si>
  <si>
    <t>uutta</t>
  </si>
  <si>
    <t>jälkeen</t>
  </si>
  <si>
    <t>koko</t>
  </si>
  <si>
    <t>niin</t>
  </si>
  <si>
    <t>Olen</t>
  </si>
  <si>
    <t>Ja</t>
  </si>
  <si>
    <t>jos</t>
  </si>
  <si>
    <t>hyvä</t>
  </si>
  <si>
    <t>sen</t>
  </si>
  <si>
    <t>vaikka</t>
  </si>
  <si>
    <t>itse</t>
  </si>
  <si>
    <t>Mitä</t>
  </si>
  <si>
    <t>jota</t>
  </si>
  <si>
    <t>ole</t>
  </si>
  <si>
    <t>HNohynek</t>
  </si>
  <si>
    <t>NasimaRazmyar</t>
  </si>
  <si>
    <t>Julkaiskaa</t>
  </si>
  <si>
    <t>muiden</t>
  </si>
  <si>
    <t>Vapauttakaa</t>
  </si>
  <si>
    <t>Lopettakaa</t>
  </si>
  <si>
    <t>Jaa</t>
  </si>
  <si>
    <t>Ihmiset</t>
  </si>
  <si>
    <t>tulevat</t>
  </si>
  <si>
    <t>hoitokeino</t>
  </si>
  <si>
    <t>joten</t>
  </si>
  <si>
    <t>siinä</t>
  </si>
  <si>
    <t>syy</t>
  </si>
  <si>
    <t>miksi</t>
  </si>
  <si>
    <t>helposti</t>
  </si>
  <si>
    <t>Ei</t>
  </si>
  <si>
    <t>lääkekannabistakaan</t>
  </si>
  <si>
    <t>nielutulehdukseenkaan</t>
  </si>
  <si>
    <t>kuinka</t>
  </si>
  <si>
    <t>vaatisit</t>
  </si>
  <si>
    <t>välittömästi</t>
  </si>
  <si>
    <t>Turvavälit</t>
  </si>
  <si>
    <t>D3</t>
  </si>
  <si>
    <t>C</t>
  </si>
  <si>
    <t>joka</t>
  </si>
  <si>
    <t>tautiin</t>
  </si>
  <si>
    <t>mene</t>
  </si>
  <si>
    <t>itekseen</t>
  </si>
  <si>
    <t>ohi</t>
  </si>
  <si>
    <t>Tässä</t>
  </si>
  <si>
    <t>lisää</t>
  </si>
  <si>
    <t>haitallisuudesta</t>
  </si>
  <si>
    <t>Kaikki</t>
  </si>
  <si>
    <t>vitamiinikuuri</t>
  </si>
  <si>
    <t>Tartuntatapauksissa</t>
  </si>
  <si>
    <t>hoitona</t>
  </si>
  <si>
    <t>kuten</t>
  </si>
  <si>
    <t>Japanissa</t>
  </si>
  <si>
    <t>poissa</t>
  </si>
  <si>
    <t>Sitten</t>
  </si>
  <si>
    <t>jatkossa</t>
  </si>
  <si>
    <t>syytteiden</t>
  </si>
  <si>
    <t>nostaminen</t>
  </si>
  <si>
    <t>rokotuksista</t>
  </si>
  <si>
    <t>vastuullisille</t>
  </si>
  <si>
    <t>Uudessa</t>
  </si>
  <si>
    <t>ovat</t>
  </si>
  <si>
    <t>ne</t>
  </si>
  <si>
    <t>ennen</t>
  </si>
  <si>
    <t>päättäjät</t>
  </si>
  <si>
    <t>kuunnelleet</t>
  </si>
  <si>
    <t>alan</t>
  </si>
  <si>
    <t>mitään</t>
  </si>
  <si>
    <t>Nuhanekku</t>
  </si>
  <si>
    <t>Salkku</t>
  </si>
  <si>
    <t>Mika</t>
  </si>
  <si>
    <t>rokotemyyriä</t>
  </si>
  <si>
    <t>JaniMakelaFi</t>
  </si>
  <si>
    <t>voi</t>
  </si>
  <si>
    <t>siten</t>
  </si>
  <si>
    <t>HUS_fi</t>
  </si>
  <si>
    <t>JarnoVirtanen2</t>
  </si>
  <si>
    <t>Anni_Lahti_</t>
  </si>
  <si>
    <t>Rokotekattavuus</t>
  </si>
  <si>
    <t>luottamus</t>
  </si>
  <si>
    <t>heti</t>
  </si>
  <si>
    <t>kiristystoimet</t>
  </si>
  <si>
    <t>poistetaan</t>
  </si>
  <si>
    <t>Pfizerin</t>
  </si>
  <si>
    <t>tutkimukset</t>
  </si>
  <si>
    <t>julkaistaan</t>
  </si>
  <si>
    <t>hoidot</t>
  </si>
  <si>
    <t>sallitaan</t>
  </si>
  <si>
    <t>kiihotus</t>
  </si>
  <si>
    <t>rokottamattomia</t>
  </si>
  <si>
    <t>vastaan</t>
  </si>
  <si>
    <t>käsitellään</t>
  </si>
  <si>
    <t>oikeudessa</t>
  </si>
  <si>
    <t>muutkin</t>
  </si>
  <si>
    <t>väestöryhmät</t>
  </si>
  <si>
    <t>Koronapassi</t>
  </si>
  <si>
    <t>poistuu</t>
  </si>
  <si>
    <t>rokottautuu</t>
  </si>
  <si>
    <t>Yhtiöiden</t>
  </si>
  <si>
    <t>tarvitse</t>
  </si>
  <si>
    <t>julkaista</t>
  </si>
  <si>
    <t>liikesalaisuuksia</t>
  </si>
  <si>
    <t>Rokotetuotteen</t>
  </si>
  <si>
    <t>valintaan</t>
  </si>
  <si>
    <t>maallikolla</t>
  </si>
  <si>
    <t>riitä</t>
  </si>
  <si>
    <t>taito</t>
  </si>
  <si>
    <t>covidiin</t>
  </si>
  <si>
    <t>Rokottamattomat</t>
  </si>
  <si>
    <t>eivät</t>
  </si>
  <si>
    <t>kansanryhmä</t>
  </si>
  <si>
    <t>Lisää</t>
  </si>
  <si>
    <t>VainionpaaEero</t>
  </si>
  <si>
    <t>koronahysteerisiä</t>
  </si>
  <si>
    <t>kiinnostaisi</t>
  </si>
  <si>
    <t>rokotekattavuuden</t>
  </si>
  <si>
    <t>nosto</t>
  </si>
  <si>
    <t>he</t>
  </si>
  <si>
    <t>käsittelisivät</t>
  </si>
  <si>
    <t>Fimean</t>
  </si>
  <si>
    <t>haittavaikutusilmoitukset</t>
  </si>
  <si>
    <t>tekisivät</t>
  </si>
  <si>
    <t>niistä</t>
  </si>
  <si>
    <t>tilaston</t>
  </si>
  <si>
    <t>tulisi</t>
  </si>
  <si>
    <t>kauppoihin</t>
  </si>
  <si>
    <t>kaikista</t>
  </si>
  <si>
    <t>eri</t>
  </si>
  <si>
    <t>malleista</t>
  </si>
  <si>
    <t>lopetettaisiin</t>
  </si>
  <si>
    <t>LeanJuha</t>
  </si>
  <si>
    <t>Raitziger</t>
  </si>
  <si>
    <t>Redditissä</t>
  </si>
  <si>
    <t>tuollaista</t>
  </si>
  <si>
    <t>John</t>
  </si>
  <si>
    <t>Campbellin</t>
  </si>
  <si>
    <t>esitelmä</t>
  </si>
  <si>
    <t>miten</t>
  </si>
  <si>
    <t>tehokkuudestakin</t>
  </si>
  <si>
    <t>maiden</t>
  </si>
  <si>
    <t>tilanne</t>
  </si>
  <si>
    <t>ellet</t>
  </si>
  <si>
    <t>lue</t>
  </si>
  <si>
    <t>YLE</t>
  </si>
  <si>
    <t>ltä</t>
  </si>
  <si>
    <t>Niin</t>
  </si>
  <si>
    <t>AnRajala</t>
  </si>
  <si>
    <t>SarasvuoJari</t>
  </si>
  <si>
    <t>liian</t>
  </si>
  <si>
    <t>patentti</t>
  </si>
  <si>
    <t>rauennut</t>
  </si>
  <si>
    <t>lääketeollisuus</t>
  </si>
  <si>
    <t>vuonna</t>
  </si>
  <si>
    <t>hyvin</t>
  </si>
  <si>
    <t>oisko</t>
  </si>
  <si>
    <t>sinun</t>
  </si>
  <si>
    <t>tietopankista</t>
  </si>
  <si>
    <t>jokin</t>
  </si>
  <si>
    <t>trollitili</t>
  </si>
  <si>
    <t>Mikäli</t>
  </si>
  <si>
    <t>täällä</t>
  </si>
  <si>
    <t>suositukset</t>
  </si>
  <si>
    <t>vitamiinien</t>
  </si>
  <si>
    <t>käytölle</t>
  </si>
  <si>
    <t>otettaisi</t>
  </si>
  <si>
    <t>sairastuneiden</t>
  </si>
  <si>
    <t>lopetettaisi</t>
  </si>
  <si>
    <t>piikitykset</t>
  </si>
  <si>
    <t>tautia</t>
  </si>
  <si>
    <t>enää</t>
  </si>
  <si>
    <t>siis</t>
  </si>
  <si>
    <t>lobbarit</t>
  </si>
  <si>
    <t>tekemässä</t>
  </si>
  <si>
    <t>tulonsiirtoa</t>
  </si>
  <si>
    <t>näille</t>
  </si>
  <si>
    <t>parannuskeino</t>
  </si>
  <si>
    <t>löytyy</t>
  </si>
  <si>
    <t>ER_Korhola</t>
  </si>
  <si>
    <t>Olet</t>
  </si>
  <si>
    <t>oikeassa</t>
  </si>
  <si>
    <t>myös</t>
  </si>
  <si>
    <t>siksi</t>
  </si>
  <si>
    <t>kymmeniä</t>
  </si>
  <si>
    <t>kertoja</t>
  </si>
  <si>
    <t>tehokkaammaksi</t>
  </si>
  <si>
    <t>nämä</t>
  </si>
  <si>
    <t>keskeneräisesti</t>
  </si>
  <si>
    <t>kk</t>
  </si>
  <si>
    <t>testatut</t>
  </si>
  <si>
    <t>mRNA</t>
  </si>
  <si>
    <t>Kantsii</t>
  </si>
  <si>
    <t>verrata</t>
  </si>
  <si>
    <t>päivittäisiä</t>
  </si>
  <si>
    <t>Japanin</t>
  </si>
  <si>
    <t>välillä</t>
  </si>
  <si>
    <t>mitä</t>
  </si>
  <si>
    <t>enemmän</t>
  </si>
  <si>
    <t>79Tuuli</t>
  </si>
  <si>
    <t>Edelleenkään</t>
  </si>
  <si>
    <t>todistettu</t>
  </si>
  <si>
    <t>ettei</t>
  </si>
  <si>
    <t>vaikeamman</t>
  </si>
  <si>
    <t>tautimuodon</t>
  </si>
  <si>
    <t>estäminen</t>
  </si>
  <si>
    <t>terveydenhuoltojärjestelmän</t>
  </si>
  <si>
    <t>kannalta</t>
  </si>
  <si>
    <t>elintärkeää</t>
  </si>
  <si>
    <t>tai</t>
  </si>
  <si>
    <t>uskottavassa</t>
  </si>
  <si>
    <t>tutkimuksessa</t>
  </si>
  <si>
    <t>rokotteita</t>
  </si>
  <si>
    <t>paremmaksi</t>
  </si>
  <si>
    <t>Kannusta</t>
  </si>
  <si>
    <t>ihmisiä</t>
  </si>
  <si>
    <t>käyttämään</t>
  </si>
  <si>
    <t>ffp2</t>
  </si>
  <si>
    <t>maskia</t>
  </si>
  <si>
    <t>Riku_Ranta</t>
  </si>
  <si>
    <t>Ainakaan</t>
  </si>
  <si>
    <t>tutkimuksissa</t>
  </si>
  <si>
    <t>ratkaisuksi</t>
  </si>
  <si>
    <t>Heikkolaatuisia</t>
  </si>
  <si>
    <t>kovasti</t>
  </si>
  <si>
    <t>tuotu</t>
  </si>
  <si>
    <t>esiin</t>
  </si>
  <si>
    <t>salaliittoa</t>
  </si>
  <si>
    <t>turvalliseksi</t>
  </si>
  <si>
    <t>sillä</t>
  </si>
  <si>
    <t>annostelulla</t>
  </si>
  <si>
    <t>tarvitaan</t>
  </si>
  <si>
    <t>MadetojaStig</t>
  </si>
  <si>
    <t>Rokotteen</t>
  </si>
  <si>
    <t>5G</t>
  </si>
  <si>
    <t>siruissa</t>
  </si>
  <si>
    <t>tosiaankin</t>
  </si>
  <si>
    <t>mukana</t>
  </si>
  <si>
    <t>viallisia</t>
  </si>
  <si>
    <t>grafeenioksidinkaan</t>
  </si>
  <si>
    <t>toksisuus</t>
  </si>
  <si>
    <t>NWO</t>
  </si>
  <si>
    <t>edellyttäisi</t>
  </si>
  <si>
    <t>Lisäksi</t>
  </si>
  <si>
    <t>poistaisi</t>
  </si>
  <si>
    <t>kaikki</t>
  </si>
  <si>
    <t>keskenkasvuiset</t>
  </si>
  <si>
    <t>madot</t>
  </si>
  <si>
    <t>elimistöstä</t>
  </si>
  <si>
    <t>Narratiiviin</t>
  </si>
  <si>
    <t>tehokkaampana</t>
  </si>
  <si>
    <t>turvallisempana</t>
  </si>
  <si>
    <t>vaihtoehtona</t>
  </si>
  <si>
    <t>rokotuksille</t>
  </si>
  <si>
    <t>Tutkimustietoa</t>
  </si>
  <si>
    <t>uskottavaa</t>
  </si>
  <si>
    <t>viimeisintä</t>
  </si>
  <si>
    <t>yllättäen</t>
  </si>
  <si>
    <t>löydykään</t>
  </si>
  <si>
    <t>tukemaan</t>
  </si>
  <si>
    <t>esimerkit</t>
  </si>
  <si>
    <t>tietyistä</t>
  </si>
  <si>
    <t>olleetkaan</t>
  </si>
  <si>
    <t>ansiota</t>
  </si>
  <si>
    <t>PMeemit</t>
  </si>
  <si>
    <t>TuomasEnbuske</t>
  </si>
  <si>
    <t>Minä</t>
  </si>
  <si>
    <t>kuuntelen</t>
  </si>
  <si>
    <t>sun</t>
  </si>
  <si>
    <t>perustelut</t>
  </si>
  <si>
    <t>Ota</t>
  </si>
  <si>
    <t>huomioon</t>
  </si>
  <si>
    <t>seuraavat</t>
  </si>
  <si>
    <t>seikat</t>
  </si>
  <si>
    <t>Pfizer</t>
  </si>
  <si>
    <t>maine</t>
  </si>
  <si>
    <t>takaisinvedot</t>
  </si>
  <si>
    <t>Rokote</t>
  </si>
  <si>
    <t>lieventää</t>
  </si>
  <si>
    <t>oireita</t>
  </si>
  <si>
    <t>suojaa</t>
  </si>
  <si>
    <t>Korona</t>
  </si>
  <si>
    <t>tapa</t>
  </si>
  <si>
    <t>perusterveitä</t>
  </si>
  <si>
    <t>parantaa</t>
  </si>
  <si>
    <t>suojata</t>
  </si>
  <si>
    <t>kuukausitolkulla</t>
  </si>
  <si>
    <t>Maria33385</t>
  </si>
  <si>
    <t>hydroklorokiinilla</t>
  </si>
  <si>
    <t>toki</t>
  </si>
  <si>
    <t>maksa</t>
  </si>
  <si>
    <t>juuri</t>
  </si>
  <si>
    <t>ilman</t>
  </si>
  <si>
    <t>Virtanen</t>
  </si>
  <si>
    <t>mikään</t>
  </si>
  <si>
    <t>järjissään</t>
  </si>
  <si>
    <t>oleva</t>
  </si>
  <si>
    <t>taho</t>
  </si>
  <si>
    <t>esitä</t>
  </si>
  <si>
    <t>Tämä</t>
  </si>
  <si>
    <t>tässä</t>
  </si>
  <si>
    <t>Aivan</t>
  </si>
  <si>
    <t>sama</t>
  </si>
  <si>
    <t>toimiiko</t>
  </si>
  <si>
    <t>valtuutettujen</t>
  </si>
  <si>
    <t>tehtävä</t>
  </si>
  <si>
    <t>antaa</t>
  </si>
  <si>
    <t>hoitosuosituksia</t>
  </si>
  <si>
    <t>MarkusSovala</t>
  </si>
  <si>
    <t>Maaninkavaara</t>
  </si>
  <si>
    <t>Miten</t>
  </si>
  <si>
    <t>joukko</t>
  </si>
  <si>
    <t>oppi</t>
  </si>
  <si>
    <t>ilmiön</t>
  </si>
  <si>
    <t>Mun</t>
  </si>
  <si>
    <t>nähdäkseni</t>
  </si>
  <si>
    <t>aika</t>
  </si>
  <si>
    <t>HydroxyChloroquine</t>
  </si>
  <si>
    <t>näytä</t>
  </si>
  <si>
    <t>tehoavan</t>
  </si>
  <si>
    <t>Mut</t>
  </si>
  <si>
    <t>hei</t>
  </si>
  <si>
    <t>Lasse</t>
  </si>
  <si>
    <t>Juhani</t>
  </si>
  <si>
    <t>suosittelee</t>
  </si>
  <si>
    <t>D</t>
  </si>
  <si>
    <t>ehkäisyssä</t>
  </si>
  <si>
    <t>asiasta</t>
  </si>
  <si>
    <t>vaietaan</t>
  </si>
  <si>
    <t>Pääsee</t>
  </si>
  <si>
    <t>todella</t>
  </si>
  <si>
    <t>vähän</t>
  </si>
  <si>
    <t>esille</t>
  </si>
  <si>
    <t>Liian</t>
  </si>
  <si>
    <t>halpaa</t>
  </si>
  <si>
    <t>Samoin</t>
  </si>
  <si>
    <t>Monet</t>
  </si>
  <si>
    <t>yksi</t>
  </si>
  <si>
    <t>näitä</t>
  </si>
  <si>
    <t>ainakin</t>
  </si>
  <si>
    <t>USA</t>
  </si>
  <si>
    <t>pointtia</t>
  </si>
  <si>
    <t>lääketieteen</t>
  </si>
  <si>
    <t>ammattilaisten</t>
  </si>
  <si>
    <t>neuvomatta</t>
  </si>
  <si>
    <t>jättämisestä</t>
  </si>
  <si>
    <t>haluaa</t>
  </si>
  <si>
    <t>jotenkin</t>
  </si>
  <si>
    <t>terästää</t>
  </si>
  <si>
    <t>ihan</t>
  </si>
  <si>
    <t>heh</t>
  </si>
  <si>
    <t>taas</t>
  </si>
  <si>
    <t>oikeastaan</t>
  </si>
  <si>
    <t>faktuaalisesti</t>
  </si>
  <si>
    <t>mielestäsi</t>
  </si>
  <si>
    <t>Intiassa</t>
  </si>
  <si>
    <t>toimitaan</t>
  </si>
  <si>
    <t>Vastaus</t>
  </si>
  <si>
    <t>kumpikaan</t>
  </si>
  <si>
    <t>maa</t>
  </si>
  <si>
    <t>apua</t>
  </si>
  <si>
    <t>rokotevastaisten</t>
  </si>
  <si>
    <t>väärintulkinnoista</t>
  </si>
  <si>
    <t>huolimatta</t>
  </si>
  <si>
    <t>heittivät</t>
  </si>
  <si>
    <t>vesilintua</t>
  </si>
  <si>
    <t>toiminut</t>
  </si>
  <si>
    <t>Milloin</t>
  </si>
  <si>
    <t>oikein</t>
  </si>
  <si>
    <t>kuvittelet</t>
  </si>
  <si>
    <t>Intian</t>
  </si>
  <si>
    <t>lopettaneen</t>
  </si>
  <si>
    <t>aloittaneen</t>
  </si>
  <si>
    <t>Menehän</t>
  </si>
  <si>
    <t>tarkistamaan</t>
  </si>
  <si>
    <t>aikajanasi</t>
  </si>
  <si>
    <t>romahtivat</t>
  </si>
  <si>
    <t>ympäri</t>
  </si>
  <si>
    <t>Intiaa</t>
  </si>
  <si>
    <t>käytettiin</t>
  </si>
  <si>
    <t>estänyt</t>
  </si>
  <si>
    <t>MikkoKorhonen12</t>
  </si>
  <si>
    <t>kuolemat</t>
  </si>
  <si>
    <t>aloittivat</t>
  </si>
  <si>
    <t>WHOn</t>
  </si>
  <si>
    <t>ohjeita</t>
  </si>
  <si>
    <t>ivermektiinilääkityksen</t>
  </si>
  <si>
    <t>aloitettiin</t>
  </si>
  <si>
    <t>KorpinenLaura</t>
  </si>
  <si>
    <t>Siinähän</t>
  </si>
  <si>
    <t>jonka</t>
  </si>
  <si>
    <t>Ylen</t>
  </si>
  <si>
    <t>Itävallassa</t>
  </si>
  <si>
    <t>Xarzi19</t>
  </si>
  <si>
    <t>mutuaaleissa</t>
  </si>
  <si>
    <t>eläinlääkäri</t>
  </si>
  <si>
    <t>alusta</t>
  </si>
  <si>
    <t>lähtien</t>
  </si>
  <si>
    <t>nauranu</t>
  </si>
  <si>
    <t>jotka</t>
  </si>
  <si>
    <t>kuvittelee</t>
  </si>
  <si>
    <t>uskon</t>
  </si>
  <si>
    <t>ennemmin</t>
  </si>
  <si>
    <t>häntä</t>
  </si>
  <si>
    <t>Suomessakin</t>
  </si>
  <si>
    <t>tehtyjä</t>
  </si>
  <si>
    <t>sovelias</t>
  </si>
  <si>
    <t>minun</t>
  </si>
  <si>
    <t>kolmiota</t>
  </si>
  <si>
    <t>Vain</t>
  </si>
  <si>
    <t>epärehelliset</t>
  </si>
  <si>
    <t>vellihousut</t>
  </si>
  <si>
    <t>perääntyy</t>
  </si>
  <si>
    <t>kysyn</t>
  </si>
  <si>
    <t>kysymyksiä</t>
  </si>
  <si>
    <t>pelleilyn</t>
  </si>
  <si>
    <t>taakse</t>
  </si>
  <si>
    <t>aiheuttaa</t>
  </si>
  <si>
    <t>sekavuutta</t>
  </si>
  <si>
    <t>takia</t>
  </si>
  <si>
    <t>kannattaisi</t>
  </si>
  <si>
    <t>ajella</t>
  </si>
  <si>
    <t>kiellettykin</t>
  </si>
  <si>
    <t>Oletko</t>
  </si>
  <si>
    <t>varma</t>
  </si>
  <si>
    <t>liikenneympyrä</t>
  </si>
  <si>
    <t>oli</t>
  </si>
  <si>
    <t>liukas</t>
  </si>
  <si>
    <t>hevostahna</t>
  </si>
  <si>
    <t>mikä</t>
  </si>
  <si>
    <t>sinulle</t>
  </si>
  <si>
    <t>paljon</t>
  </si>
  <si>
    <t>paremmin</t>
  </si>
  <si>
    <t>LMAO</t>
  </si>
  <si>
    <t>LOL</t>
  </si>
  <si>
    <t>monesti</t>
  </si>
  <si>
    <t>Kiili</t>
  </si>
  <si>
    <t>aihauttamiin</t>
  </si>
  <si>
    <t>tulehdussairauksien</t>
  </si>
  <si>
    <t>En</t>
  </si>
  <si>
    <t>tiedä</t>
  </si>
  <si>
    <t>tepsiikö</t>
  </si>
  <si>
    <t>hevoslääkkeestä</t>
  </si>
  <si>
    <t>puhuminen</t>
  </si>
  <si>
    <t>silkkaa</t>
  </si>
  <si>
    <t>disinformaatiota</t>
  </si>
  <si>
    <t>JouniPeltoniemi</t>
  </si>
  <si>
    <t>erinomainen</t>
  </si>
  <si>
    <t>jokaisen</t>
  </si>
  <si>
    <t>rokotekriittisen</t>
  </si>
  <si>
    <t>kansallisvastenmielisen</t>
  </si>
  <si>
    <t>tulee</t>
  </si>
  <si>
    <t>voida</t>
  </si>
  <si>
    <t>annostella</t>
  </si>
  <si>
    <t>itselleen</t>
  </si>
  <si>
    <t>terapeuttisen</t>
  </si>
  <si>
    <t>ikkunan</t>
  </si>
  <si>
    <t>raamit</t>
  </si>
  <si>
    <t>kaulassa</t>
  </si>
  <si>
    <t>mennään</t>
  </si>
  <si>
    <t>paskomaan</t>
  </si>
  <si>
    <t>housuun</t>
  </si>
  <si>
    <t>Tunnettu</t>
  </si>
  <si>
    <t>sivuvaikutus</t>
  </si>
  <si>
    <t>MKorja</t>
  </si>
  <si>
    <t>PierreKory</t>
  </si>
  <si>
    <t>uusi</t>
  </si>
  <si>
    <t>tänään</t>
  </si>
  <si>
    <t>julkaistu</t>
  </si>
  <si>
    <t>pilleri</t>
  </si>
  <si>
    <t>pohjainen</t>
  </si>
  <si>
    <t>Hevosten</t>
  </si>
  <si>
    <t>moni</t>
  </si>
  <si>
    <t>uskoo</t>
  </si>
  <si>
    <t>lähes</t>
  </si>
  <si>
    <t>ihmeenomaiseen</t>
  </si>
  <si>
    <t>tehoon</t>
  </si>
  <si>
    <t>en</t>
  </si>
  <si>
    <t>vakuuttunut</t>
  </si>
  <si>
    <t>yritin</t>
  </si>
  <si>
    <t>etsiä</t>
  </si>
  <si>
    <t>Isoja</t>
  </si>
  <si>
    <t>vertaisarvioituja</t>
  </si>
  <si>
    <t>laadukkaassa</t>
  </si>
  <si>
    <t>julkaistuja</t>
  </si>
  <si>
    <t>puolesta</t>
  </si>
  <si>
    <t>löytyi</t>
  </si>
  <si>
    <t>huonosti</t>
  </si>
  <si>
    <t>Voi</t>
  </si>
  <si>
    <t>olla</t>
  </si>
  <si>
    <t>vaan</t>
  </si>
  <si>
    <t>niitä</t>
  </si>
  <si>
    <t>Korrelaatio</t>
  </si>
  <si>
    <t>kausaliteetista</t>
  </si>
  <si>
    <t>neljässä</t>
  </si>
  <si>
    <t>kuvan</t>
  </si>
  <si>
    <t>ehkäisyyn</t>
  </si>
  <si>
    <t>hyväksyttiin</t>
  </si>
  <si>
    <t>elokuun</t>
  </si>
  <si>
    <t>pvä</t>
  </si>
  <si>
    <t>vrk</t>
  </si>
  <si>
    <t>hyväksynnän</t>
  </si>
  <si>
    <t>määrä</t>
  </si>
  <si>
    <t>Muissa</t>
  </si>
  <si>
    <t>vastaavaa</t>
  </si>
  <si>
    <t>Ostaisin</t>
  </si>
  <si>
    <t>Käyttäisin</t>
  </si>
  <si>
    <t>BigFarma</t>
  </si>
  <si>
    <t>halua</t>
  </si>
  <si>
    <t>sijoittaa</t>
  </si>
  <si>
    <t>orpolääkkeiden</t>
  </si>
  <si>
    <t>tutkimukseen</t>
  </si>
  <si>
    <t>Halvat</t>
  </si>
  <si>
    <t>vanhat</t>
  </si>
  <si>
    <t>hcq</t>
  </si>
  <si>
    <t>jääneet</t>
  </si>
  <si>
    <t>vaille</t>
  </si>
  <si>
    <t>selvityksiä</t>
  </si>
  <si>
    <t>varhaisvaiheen</t>
  </si>
  <si>
    <t>sairaalakuntoon</t>
  </si>
  <si>
    <t>Tilalle</t>
  </si>
  <si>
    <t>tuputtavat</t>
  </si>
  <si>
    <t>kalliita</t>
  </si>
  <si>
    <t>uusia</t>
  </si>
  <si>
    <t>vähintään</t>
  </si>
  <si>
    <t>yhtä</t>
  </si>
  <si>
    <t>heikkotehoisia</t>
  </si>
  <si>
    <t>LeenaKeinnen1</t>
  </si>
  <si>
    <t>TurtiainenAno</t>
  </si>
  <si>
    <t>Kansallinen</t>
  </si>
  <si>
    <t>vitamiiniohjelma</t>
  </si>
  <si>
    <t>alkuoireisiin</t>
  </si>
  <si>
    <t>massiivinen</t>
  </si>
  <si>
    <t>oireettomien</t>
  </si>
  <si>
    <t>testailun</t>
  </si>
  <si>
    <t>jäljityksen</t>
  </si>
  <si>
    <t>lopettaminen</t>
  </si>
  <si>
    <t>kaikessa</t>
  </si>
  <si>
    <t>kalleinta</t>
  </si>
  <si>
    <t>Sieltä</t>
  </si>
  <si>
    <t>vapautuisi</t>
  </si>
  <si>
    <t>resursseja</t>
  </si>
  <si>
    <t>varsinaiseen</t>
  </si>
  <si>
    <t>terveydenhoitoon</t>
  </si>
  <si>
    <t>Metabolisista</t>
  </si>
  <si>
    <t>ongelmista</t>
  </si>
  <si>
    <t>kärsivät</t>
  </si>
  <si>
    <t>ketodieetille</t>
  </si>
  <si>
    <t>Jne</t>
  </si>
  <si>
    <t>SARS</t>
  </si>
  <si>
    <t>CoV</t>
  </si>
  <si>
    <t>viruksen</t>
  </si>
  <si>
    <t>todellakaan</t>
  </si>
  <si>
    <t>Sen</t>
  </si>
  <si>
    <t>toimivuudesta</t>
  </si>
  <si>
    <t>ainuttakaan</t>
  </si>
  <si>
    <t>todistetta</t>
  </si>
  <si>
    <t>ottaneista</t>
  </si>
  <si>
    <t>sairaalaan</t>
  </si>
  <si>
    <t>joutuneista</t>
  </si>
  <si>
    <t>artikkelia</t>
  </si>
  <si>
    <t>luettavana</t>
  </si>
  <si>
    <t>ArttuHamalainen</t>
  </si>
  <si>
    <t>Vaikuttavina</t>
  </si>
  <si>
    <t>aineina</t>
  </si>
  <si>
    <t>hydroklorokiini</t>
  </si>
  <si>
    <t>suomalaista</t>
  </si>
  <si>
    <t>patentin</t>
  </si>
  <si>
    <t>saanutta</t>
  </si>
  <si>
    <t>koronalääkettä</t>
  </si>
  <si>
    <t>aivan</t>
  </si>
  <si>
    <t>helvetin</t>
  </si>
  <si>
    <t>virustaudeissa</t>
  </si>
  <si>
    <t>replikoitumisprosessia</t>
  </si>
  <si>
    <t>aikaa</t>
  </si>
  <si>
    <t>immuunipuolustukselle</t>
  </si>
  <si>
    <t>muodostaa</t>
  </si>
  <si>
    <t>viruskuorma</t>
  </si>
  <si>
    <t>korkeaksi</t>
  </si>
  <si>
    <t>MMaitoparta</t>
  </si>
  <si>
    <t>kaksi</t>
  </si>
  <si>
    <t>vuotta</t>
  </si>
  <si>
    <t>pLandemiaan</t>
  </si>
  <si>
    <t>tullut</t>
  </si>
  <si>
    <t>Vanha</t>
  </si>
  <si>
    <t>Anekdootin</t>
  </si>
  <si>
    <t>mukaan</t>
  </si>
  <si>
    <t>vaikuttanut</t>
  </si>
  <si>
    <t>torjunnassa</t>
  </si>
  <si>
    <t>joissa</t>
  </si>
  <si>
    <t>loistartunnat</t>
  </si>
  <si>
    <t>yleisiä</t>
  </si>
  <si>
    <t>Minulla</t>
  </si>
  <si>
    <t>_ei_</t>
  </si>
  <si>
    <t>tuon</t>
  </si>
  <si>
    <t>tueksi</t>
  </si>
  <si>
    <t>loogistahan</t>
  </si>
  <si>
    <t>häätö</t>
  </si>
  <si>
    <t>parantaisi</t>
  </si>
  <si>
    <t>niiden</t>
  </si>
  <si>
    <t>vastustuskykyä</t>
  </si>
  <si>
    <t>joilla</t>
  </si>
  <si>
    <t>Tämähän</t>
  </si>
  <si>
    <t>nerokasta</t>
  </si>
  <si>
    <t>Ihme</t>
  </si>
  <si>
    <t>etten</t>
  </si>
  <si>
    <t>nähnyt</t>
  </si>
  <si>
    <t>tuota</t>
  </si>
  <si>
    <t>havaintoa</t>
  </si>
  <si>
    <t>olen</t>
  </si>
  <si>
    <t>vastakommentteja</t>
  </si>
  <si>
    <t>intoilijoille</t>
  </si>
  <si>
    <t>Loistartunta</t>
  </si>
  <si>
    <t>taudin</t>
  </si>
  <si>
    <t>riskitekijä</t>
  </si>
  <si>
    <t>MattiMuukkonen</t>
  </si>
  <si>
    <t>Tehdäänkö</t>
  </si>
  <si>
    <t>jossa</t>
  </si>
  <si>
    <t>Entä</t>
  </si>
  <si>
    <t>muita</t>
  </si>
  <si>
    <t>Lol</t>
  </si>
  <si>
    <t>vakavaa</t>
  </si>
  <si>
    <t>tautimuotoa</t>
  </si>
  <si>
    <t>rokotettujakin</t>
  </si>
  <si>
    <t>joutuu</t>
  </si>
  <si>
    <t>Eihän</t>
  </si>
  <si>
    <t>kokeiluun</t>
  </si>
  <si>
    <t>kaikille</t>
  </si>
  <si>
    <t>halukkaille</t>
  </si>
  <si>
    <t>käytöstä</t>
  </si>
  <si>
    <t>katsota</t>
  </si>
  <si>
    <t>perussairauksia</t>
  </si>
  <si>
    <t>ikää</t>
  </si>
  <si>
    <t>tms</t>
  </si>
  <si>
    <t>todetaan</t>
  </si>
  <si>
    <t>Koljonen_Tuomas</t>
  </si>
  <si>
    <t>Jep</t>
  </si>
  <si>
    <t>Tässäkin</t>
  </si>
  <si>
    <t>tullaan</t>
  </si>
  <si>
    <t>siihen</t>
  </si>
  <si>
    <t>mihin</t>
  </si>
  <si>
    <t>mikäkin</t>
  </si>
  <si>
    <t>loiset</t>
  </si>
  <si>
    <t>annokset</t>
  </si>
  <si>
    <t>turvallisia</t>
  </si>
  <si>
    <t>Vaikutus</t>
  </si>
  <si>
    <t>koronavirusta</t>
  </si>
  <si>
    <t>entsyymejä</t>
  </si>
  <si>
    <t>osoitettu</t>
  </si>
  <si>
    <t>ziljardikertaisilla</t>
  </si>
  <si>
    <t>annoksilla</t>
  </si>
  <si>
    <t>suhteessa</t>
  </si>
  <si>
    <t>turvalliseen</t>
  </si>
  <si>
    <t>rajaan</t>
  </si>
  <si>
    <t>Tostapa</t>
  </si>
  <si>
    <t>tehokkaat</t>
  </si>
  <si>
    <t>haittavaikutuksia</t>
  </si>
  <si>
    <t>Joten</t>
  </si>
  <si>
    <t>kannattaa</t>
  </si>
  <si>
    <t>vaivoihin</t>
  </si>
  <si>
    <t>joihin</t>
  </si>
  <si>
    <t>lääkärin</t>
  </si>
  <si>
    <t>määräyksestä</t>
  </si>
  <si>
    <t>VSavela</t>
  </si>
  <si>
    <t>nyt</t>
  </si>
  <si>
    <t>sentään</t>
  </si>
  <si>
    <t>jotakuinkin</t>
  </si>
  <si>
    <t>varmemmin</t>
  </si>
  <si>
    <t>turvallisemmin</t>
  </si>
  <si>
    <t>sanoisi</t>
  </si>
  <si>
    <t>VOI</t>
  </si>
  <si>
    <t>sellaisen</t>
  </si>
  <si>
    <t>todistaminen</t>
  </si>
  <si>
    <t>vaivalloisempaa</t>
  </si>
  <si>
    <t>näyttöä</t>
  </si>
  <si>
    <t>molekyylit</t>
  </si>
  <si>
    <t>solut</t>
  </si>
  <si>
    <t>Meidän</t>
  </si>
  <si>
    <t>kahvihuoneen</t>
  </si>
  <si>
    <t>pöydällä</t>
  </si>
  <si>
    <t>etusivulla</t>
  </si>
  <si>
    <t>mainos</t>
  </si>
  <si>
    <t>Eläinlääkärilehdessä</t>
  </si>
  <si>
    <t>SPihatto</t>
  </si>
  <si>
    <t>Eipä</t>
  </si>
  <si>
    <t>jolla</t>
  </si>
  <si>
    <t>vielä</t>
  </si>
  <si>
    <t>InvestorImagin1</t>
  </si>
  <si>
    <t>KoomikkoKivi</t>
  </si>
  <si>
    <t>Samoilla</t>
  </si>
  <si>
    <t>Sillä</t>
  </si>
  <si>
    <t>esimerkiksi</t>
  </si>
  <si>
    <t>maat</t>
  </si>
  <si>
    <t>saatiin</t>
  </si>
  <si>
    <t>hyviä</t>
  </si>
  <si>
    <t>vaikutuksia</t>
  </si>
  <si>
    <t>gt</t>
  </si>
  <si>
    <t>tilastollisesti</t>
  </si>
  <si>
    <t>tartunnat</t>
  </si>
  <si>
    <t>sairaalakäynnit</t>
  </si>
  <si>
    <t>putosivat</t>
  </si>
  <si>
    <t>olikohan</t>
  </si>
  <si>
    <t>chile</t>
  </si>
  <si>
    <t>peru</t>
  </si>
  <si>
    <t>presidentin</t>
  </si>
  <si>
    <t>vaihdon</t>
  </si>
  <si>
    <t>kiellettiin</t>
  </si>
  <si>
    <t>lähtivät</t>
  </si>
  <si>
    <t>jälleen</t>
  </si>
  <si>
    <t>käytettynä</t>
  </si>
  <si>
    <t>Virusten</t>
  </si>
  <si>
    <t>tehokkaaseen</t>
  </si>
  <si>
    <t>torjuntaan</t>
  </si>
  <si>
    <t>vaadittaisiin</t>
  </si>
  <si>
    <t>nykytiedolla</t>
  </si>
  <si>
    <t>nieltynä</t>
  </si>
  <si>
    <t>isompia</t>
  </si>
  <si>
    <t>annoksia</t>
  </si>
  <si>
    <t>Iv</t>
  </si>
  <si>
    <t>hoitoa</t>
  </si>
  <si>
    <t>tukevien</t>
  </si>
  <si>
    <t>tutkimusten</t>
  </si>
  <si>
    <t>laatukin</t>
  </si>
  <si>
    <t>Lääkeaine</t>
  </si>
  <si>
    <t>makrosyklinen</t>
  </si>
  <si>
    <t>laktoneihin</t>
  </si>
  <si>
    <t>kuuluva</t>
  </si>
  <si>
    <t>Sitä</t>
  </si>
  <si>
    <t>ihmis</t>
  </si>
  <si>
    <t>eläinlääketieteessäkin</t>
  </si>
  <si>
    <t>useiden</t>
  </si>
  <si>
    <t>syyhypunkin</t>
  </si>
  <si>
    <t>päätäiden</t>
  </si>
  <si>
    <t>jokisokeutta</t>
  </si>
  <si>
    <t>aiheuttavan</t>
  </si>
  <si>
    <t>Onchocerca</t>
  </si>
  <si>
    <t>volvulus</t>
  </si>
  <si>
    <t>madon</t>
  </si>
  <si>
    <t>elefanttitautia</t>
  </si>
  <si>
    <t>aiheuttavien</t>
  </si>
  <si>
    <t>sukkulamat</t>
  </si>
  <si>
    <t>Tommi</t>
  </si>
  <si>
    <t>Kinnusella</t>
  </si>
  <si>
    <t>näköjään</t>
  </si>
  <si>
    <t>oma</t>
  </si>
  <si>
    <t>kultti</t>
  </si>
  <si>
    <t>pelkästään</t>
  </si>
  <si>
    <t>Kannattaa</t>
  </si>
  <si>
    <t>lukea</t>
  </si>
  <si>
    <t>kokonaan</t>
  </si>
  <si>
    <t>mikäli</t>
  </si>
  <si>
    <t>kiinnostaa</t>
  </si>
  <si>
    <t>tarkoitat</t>
  </si>
  <si>
    <t>ivermectin</t>
  </si>
  <si>
    <t>kyseinen</t>
  </si>
  <si>
    <t>hevoslääke</t>
  </si>
  <si>
    <t>loishäätöön</t>
  </si>
  <si>
    <t>kehittäjä</t>
  </si>
  <si>
    <t>Älä</t>
  </si>
  <si>
    <t>valeuutisia</t>
  </si>
  <si>
    <t>sivusto</t>
  </si>
  <si>
    <t>osoittaa</t>
  </si>
  <si>
    <t>osallistui</t>
  </si>
  <si>
    <t>potilasta</t>
  </si>
  <si>
    <t>paljastavat</t>
  </si>
  <si>
    <t>kuoleman</t>
  </si>
  <si>
    <t>vähenemisen</t>
  </si>
  <si>
    <t>ennaltaehkäisy</t>
  </si>
  <si>
    <t>Ivermektiinillä</t>
  </si>
  <si>
    <t>tehokkaampi</t>
  </si>
  <si>
    <t>HakalaOlli</t>
  </si>
  <si>
    <t>HuuhtanenPanu</t>
  </si>
  <si>
    <t>TiinaKeskimki</t>
  </si>
  <si>
    <t>HuhtasaariSaara</t>
  </si>
  <si>
    <t>LauraHuhtasaari</t>
  </si>
  <si>
    <t>IkeNovikoff</t>
  </si>
  <si>
    <t>ReaverTeknoGods</t>
  </si>
  <si>
    <t>Juha_Korh2</t>
  </si>
  <si>
    <t>JipeFIN</t>
  </si>
  <si>
    <t>Ottakaa</t>
  </si>
  <si>
    <t>muualla</t>
  </si>
  <si>
    <t>hyviksi</t>
  </si>
  <si>
    <t>AittolaEija</t>
  </si>
  <si>
    <t>Laumasuojaa</t>
  </si>
  <si>
    <t>yritetään</t>
  </si>
  <si>
    <t>vuotavalla</t>
  </si>
  <si>
    <t>onnistu</t>
  </si>
  <si>
    <t>sekään</t>
  </si>
  <si>
    <t>vitamiinit</t>
  </si>
  <si>
    <t>MRNA</t>
  </si>
  <si>
    <t>piikitys</t>
  </si>
  <si>
    <t>kierre</t>
  </si>
  <si>
    <t>tilastojen</t>
  </si>
  <si>
    <t>valossa</t>
  </si>
  <si>
    <t>väärältä</t>
  </si>
  <si>
    <t>valinnalta</t>
  </si>
  <si>
    <t>Sale43903750</t>
  </si>
  <si>
    <t>AnttiHeikkil2</t>
  </si>
  <si>
    <t>toisin</t>
  </si>
  <si>
    <t>sallittu</t>
  </si>
  <si>
    <t>Käyttöön</t>
  </si>
  <si>
    <t>täälläkin</t>
  </si>
  <si>
    <t>yksin</t>
  </si>
  <si>
    <t>pahentavan</t>
  </si>
  <si>
    <t>tilannetta</t>
  </si>
  <si>
    <t>Koronapiikitys</t>
  </si>
  <si>
    <t>virhejuttu</t>
  </si>
  <si>
    <t>Ois</t>
  </si>
  <si>
    <t>kokeiltu</t>
  </si>
  <si>
    <t>edes</t>
  </si>
  <si>
    <t>ensin</t>
  </si>
  <si>
    <t>Ns</t>
  </si>
  <si>
    <t>virallinen</t>
  </si>
  <si>
    <t>käsitys</t>
  </si>
  <si>
    <t>nykyiset</t>
  </si>
  <si>
    <t>koronarokotteet</t>
  </si>
  <si>
    <t>ainoa</t>
  </si>
  <si>
    <t>tie</t>
  </si>
  <si>
    <t>ulos</t>
  </si>
  <si>
    <t>pandemiasta</t>
  </si>
  <si>
    <t>muu</t>
  </si>
  <si>
    <t>em</t>
  </si>
  <si>
    <t>koetaan</t>
  </si>
  <si>
    <t>uhaksi</t>
  </si>
  <si>
    <t>ml</t>
  </si>
  <si>
    <t>potentiaalisesti</t>
  </si>
  <si>
    <t>ennaltaehkäisevät</t>
  </si>
  <si>
    <t>hoitavat</t>
  </si>
  <si>
    <t>parantavat</t>
  </si>
  <si>
    <t>joita</t>
  </si>
  <si>
    <t>kyseenalaistetaan</t>
  </si>
  <si>
    <t>EmppuVuori</t>
  </si>
  <si>
    <t>Uusia</t>
  </si>
  <si>
    <t>Viron</t>
  </si>
  <si>
    <t>Britannian</t>
  </si>
  <si>
    <t>tilaama</t>
  </si>
  <si>
    <t>Merckin</t>
  </si>
  <si>
    <t>Molnupiravir</t>
  </si>
  <si>
    <t>ynnä</t>
  </si>
  <si>
    <t>Paxlovid</t>
  </si>
  <si>
    <t>etc</t>
  </si>
  <si>
    <t>Näitä</t>
  </si>
  <si>
    <t>useita</t>
  </si>
  <si>
    <t>Luultavasti</t>
  </si>
  <si>
    <t>Lääkeen</t>
  </si>
  <si>
    <t>Tragikoomista</t>
  </si>
  <si>
    <t>käytettävissä</t>
  </si>
  <si>
    <t>maininnut</t>
  </si>
  <si>
    <t>Siitä</t>
  </si>
  <si>
    <t>meille</t>
  </si>
  <si>
    <t>kerrotaan</t>
  </si>
  <si>
    <t>puolitehoinen</t>
  </si>
  <si>
    <t>poispääsy</t>
  </si>
  <si>
    <t>Idealistinen</t>
  </si>
  <si>
    <t>ajatus</t>
  </si>
  <si>
    <t>Jo</t>
  </si>
  <si>
    <t>alussa</t>
  </si>
  <si>
    <t>Niistä</t>
  </si>
  <si>
    <t>tehdään</t>
  </si>
  <si>
    <t>väittämiä</t>
  </si>
  <si>
    <t>välttyä</t>
  </si>
  <si>
    <t>ajatukselta</t>
  </si>
  <si>
    <t>haluttiin</t>
  </si>
  <si>
    <t>kalliit</t>
  </si>
  <si>
    <t>patentoidut</t>
  </si>
  <si>
    <t>Myös</t>
  </si>
  <si>
    <t>Intia</t>
  </si>
  <si>
    <t>taltutti</t>
  </si>
  <si>
    <t>MatsRonnback</t>
  </si>
  <si>
    <t>Sekä</t>
  </si>
  <si>
    <t>katsoo</t>
  </si>
  <si>
    <t>UK</t>
  </si>
  <si>
    <t>seuraa</t>
  </si>
  <si>
    <t>rokotekattavuutta</t>
  </si>
  <si>
    <t>kesän</t>
  </si>
  <si>
    <t>talven</t>
  </si>
  <si>
    <t>vaihtelua</t>
  </si>
  <si>
    <t>kanssa</t>
  </si>
  <si>
    <t>väitetään</t>
  </si>
  <si>
    <t>matojen</t>
  </si>
  <si>
    <t>ohella</t>
  </si>
  <si>
    <t>viruksiin</t>
  </si>
  <si>
    <t>tuhoaa</t>
  </si>
  <si>
    <t>ionikanavat</t>
  </si>
  <si>
    <t>proteaasit</t>
  </si>
  <si>
    <t>polymeraasitkin</t>
  </si>
  <si>
    <t>aine</t>
  </si>
  <si>
    <t>KAIKEN</t>
  </si>
  <si>
    <t>talossa</t>
  </si>
  <si>
    <t>puutarhassa</t>
  </si>
  <si>
    <t>Et</t>
  </si>
  <si>
    <t>popsia</t>
  </si>
  <si>
    <t>aamupalaksi</t>
  </si>
  <si>
    <t>Oikeasti</t>
  </si>
  <si>
    <t>matoihin</t>
  </si>
  <si>
    <t>Joo</t>
  </si>
  <si>
    <t>olkaamme</t>
  </si>
  <si>
    <t>kiitollisia</t>
  </si>
  <si>
    <t>maaperän</t>
  </si>
  <si>
    <t>bakteereille</t>
  </si>
  <si>
    <t>nääs</t>
  </si>
  <si>
    <t>pirullisen</t>
  </si>
  <si>
    <t>vaikea</t>
  </si>
  <si>
    <t>molekyyli</t>
  </si>
  <si>
    <t>kemisteille</t>
  </si>
  <si>
    <t>tehtäväksi</t>
  </si>
  <si>
    <t>hyvää</t>
  </si>
  <si>
    <t>kamaa</t>
  </si>
  <si>
    <t>hävittämiseen</t>
  </si>
  <si>
    <t>Höpönasssu</t>
  </si>
  <si>
    <t>loistava</t>
  </si>
  <si>
    <t>sijaan</t>
  </si>
  <si>
    <t>HannaSokajarvi</t>
  </si>
  <si>
    <t>LindenAki</t>
  </si>
  <si>
    <t>hengityskoneen</t>
  </si>
  <si>
    <t>aspiriini</t>
  </si>
  <si>
    <t>nimittäin</t>
  </si>
  <si>
    <t>poistaa</t>
  </si>
  <si>
    <t>pienet</t>
  </si>
  <si>
    <t>verisuonitukokset</t>
  </si>
  <si>
    <t>keuhkoista</t>
  </si>
  <si>
    <t>tutkimusnäyttö</t>
  </si>
  <si>
    <t>Rokotteet</t>
  </si>
  <si>
    <t>vuotaa</t>
  </si>
  <si>
    <t>äskettäin</t>
  </si>
  <si>
    <t>tehohoidon</t>
  </si>
  <si>
    <t>potilaista</t>
  </si>
  <si>
    <t>Briteissä</t>
  </si>
  <si>
    <t>aikuisista</t>
  </si>
  <si>
    <t>tartunnan</t>
  </si>
  <si>
    <t>saaneista</t>
  </si>
  <si>
    <t>reilu</t>
  </si>
  <si>
    <t>enemmistö</t>
  </si>
  <si>
    <t>2x</t>
  </si>
  <si>
    <t>Vuotavat</t>
  </si>
  <si>
    <t>vihdoin</t>
  </si>
  <si>
    <t>loppuu</t>
  </si>
  <si>
    <t>tämä</t>
  </si>
  <si>
    <t>koronashow</t>
  </si>
  <si>
    <t>Kysyä</t>
  </si>
  <si>
    <t>hyötyä</t>
  </si>
  <si>
    <t>otettu</t>
  </si>
  <si>
    <t>ivermektiiniin</t>
  </si>
  <si>
    <t>pohjautuva</t>
  </si>
  <si>
    <t>Japan</t>
  </si>
  <si>
    <t>crushes</t>
  </si>
  <si>
    <t>Big</t>
  </si>
  <si>
    <t>Pharma</t>
  </si>
  <si>
    <t>with</t>
  </si>
  <si>
    <t>a</t>
  </si>
  <si>
    <t>small</t>
  </si>
  <si>
    <t>yet</t>
  </si>
  <si>
    <t>effective</t>
  </si>
  <si>
    <t>move</t>
  </si>
  <si>
    <t>ehdottoman</t>
  </si>
  <si>
    <t>varmasti</t>
  </si>
  <si>
    <t>Vai</t>
  </si>
  <si>
    <t>nähneet</t>
  </si>
  <si>
    <t>yhtään</t>
  </si>
  <si>
    <t>poroa</t>
  </si>
  <si>
    <t>hevosta</t>
  </si>
  <si>
    <t>olis</t>
  </si>
  <si>
    <t>loishåädön</t>
  </si>
  <si>
    <t>KatjaKurk</t>
  </si>
  <si>
    <t>KarnaMikko</t>
  </si>
  <si>
    <t>Noh</t>
  </si>
  <si>
    <t>eipäs</t>
  </si>
  <si>
    <t>yleistetä</t>
  </si>
  <si>
    <t>Sairastuneen</t>
  </si>
  <si>
    <t>rokotetun</t>
  </si>
  <si>
    <t>virusmäärä</t>
  </si>
  <si>
    <t>rokottamatonta</t>
  </si>
  <si>
    <t>vastaava</t>
  </si>
  <si>
    <t>Vaihtoehtoiset</t>
  </si>
  <si>
    <t>hoitomuodot</t>
  </si>
  <si>
    <t>Koronakuolleisuus</t>
  </si>
  <si>
    <t>influenssan</t>
  </si>
  <si>
    <t>tasoa</t>
  </si>
  <si>
    <t>KoivupuroEero</t>
  </si>
  <si>
    <t>DgTiainen</t>
  </si>
  <si>
    <t>TommiH9</t>
  </si>
  <si>
    <t>JethroRostedt</t>
  </si>
  <si>
    <t>influenssa</t>
  </si>
  <si>
    <t>tauti</t>
  </si>
  <si>
    <t>huonokuntoiselle</t>
  </si>
  <si>
    <t>Rokotteiden</t>
  </si>
  <si>
    <t>saada</t>
  </si>
  <si>
    <t>nuo</t>
  </si>
  <si>
    <t>tavallisille</t>
  </si>
  <si>
    <t>Yhdysvalloissa</t>
  </si>
  <si>
    <t>potilaita</t>
  </si>
  <si>
    <t>hoidettu</t>
  </si>
  <si>
    <t>kuuluisin</t>
  </si>
  <si>
    <t>heistä</t>
  </si>
  <si>
    <t>ehkä</t>
  </si>
  <si>
    <t>Joe</t>
  </si>
  <si>
    <t>Rogan</t>
  </si>
  <si>
    <t>Sai</t>
  </si>
  <si>
    <t>parantui</t>
  </si>
  <si>
    <t>parissa</t>
  </si>
  <si>
    <t>päivässä</t>
  </si>
  <si>
    <t>kuraa</t>
  </si>
  <si>
    <t>niskaan</t>
  </si>
  <si>
    <t>kertoi</t>
  </si>
  <si>
    <t>julkisesti</t>
  </si>
  <si>
    <t>auttoi</t>
  </si>
  <si>
    <t>laajasti</t>
  </si>
  <si>
    <t>sadoille</t>
  </si>
  <si>
    <t>tuhansille</t>
  </si>
  <si>
    <t>vuosi</t>
  </si>
  <si>
    <t>muitakin</t>
  </si>
  <si>
    <t>tarvi</t>
  </si>
  <si>
    <t>Niillä</t>
  </si>
  <si>
    <t>alunperin</t>
  </si>
  <si>
    <t>muista</t>
  </si>
  <si>
    <t>erittäin</t>
  </si>
  <si>
    <t>alhaiset</t>
  </si>
  <si>
    <t>luvut</t>
  </si>
  <si>
    <t>Tulisipa</t>
  </si>
  <si>
    <t>markkinoille</t>
  </si>
  <si>
    <t>suunkautta</t>
  </si>
  <si>
    <t>otettava</t>
  </si>
  <si>
    <t>kopio</t>
  </si>
  <si>
    <t>voivat</t>
  </si>
  <si>
    <t>voittavat</t>
  </si>
  <si>
    <t>pandemiankin</t>
  </si>
  <si>
    <t>Paxlovidissa</t>
  </si>
  <si>
    <t>Ivermektiinissä</t>
  </si>
  <si>
    <t>tunnetaan</t>
  </si>
  <si>
    <t>koodilla</t>
  </si>
  <si>
    <t>PF</t>
  </si>
  <si>
    <t>EI</t>
  </si>
  <si>
    <t>EDES</t>
  </si>
  <si>
    <t>KOKEILLA</t>
  </si>
  <si>
    <t>Käsittämätön</t>
  </si>
  <si>
    <t>munaus</t>
  </si>
  <si>
    <t>Rupea</t>
  </si>
  <si>
    <t>puhumaan</t>
  </si>
  <si>
    <t>Hölmöä</t>
  </si>
  <si>
    <t>huomioida</t>
  </si>
  <si>
    <t>laisinkaan</t>
  </si>
  <si>
    <t>Koronan</t>
  </si>
  <si>
    <t>Väärin</t>
  </si>
  <si>
    <t>pääasiassa</t>
  </si>
  <si>
    <t>karjan</t>
  </si>
  <si>
    <t>madonpoistoon</t>
  </si>
  <si>
    <t>COVID</t>
  </si>
  <si>
    <t>hyväksytyt</t>
  </si>
  <si>
    <t>määrittää</t>
  </si>
  <si>
    <t>lääkinnällisten</t>
  </si>
  <si>
    <t>laitteiden</t>
  </si>
  <si>
    <t>virasto</t>
  </si>
  <si>
    <t>PMDA</t>
  </si>
  <si>
    <t>EevaPirila</t>
  </si>
  <si>
    <t>MaKriKaLi</t>
  </si>
  <si>
    <t>KimmoRautanen</t>
  </si>
  <si>
    <t>Arquez13</t>
  </si>
  <si>
    <t>Mikä</t>
  </si>
  <si>
    <t>Arfikassa</t>
  </si>
  <si>
    <t>käsittääkseni</t>
  </si>
  <si>
    <t>menee</t>
  </si>
  <si>
    <t>käy</t>
  </si>
  <si>
    <t>kaikkeen</t>
  </si>
  <si>
    <t>voittanut</t>
  </si>
  <si>
    <t>Nobel</t>
  </si>
  <si>
    <t>Käytän</t>
  </si>
  <si>
    <t>närästykseen</t>
  </si>
  <si>
    <t>alaselkäkipuun</t>
  </si>
  <si>
    <t>MolkanenOskari</t>
  </si>
  <si>
    <t>MikaIhamuotila</t>
  </si>
  <si>
    <t>Kyllähän</t>
  </si>
  <si>
    <t>saatu</t>
  </si>
  <si>
    <t>Kysymys</t>
  </si>
  <si>
    <t>Agenda</t>
  </si>
  <si>
    <t>kukaan</t>
  </si>
  <si>
    <t>haluaisi</t>
  </si>
  <si>
    <t>SebastianMaki</t>
  </si>
  <si>
    <t>HCQ</t>
  </si>
  <si>
    <t>tuli</t>
  </si>
  <si>
    <t>paljoa</t>
  </si>
  <si>
    <t>ruumiita</t>
  </si>
  <si>
    <t>ShhSami</t>
  </si>
  <si>
    <t>OKuokka</t>
  </si>
  <si>
    <t>Tohtoriopiskelija</t>
  </si>
  <si>
    <t>väittää</t>
  </si>
  <si>
    <t>Rokoteuskovaiset</t>
  </si>
  <si>
    <t>Juuri</t>
  </si>
  <si>
    <t>keksijä</t>
  </si>
  <si>
    <t>Wööö</t>
  </si>
  <si>
    <t>fake</t>
  </si>
  <si>
    <t>news</t>
  </si>
  <si>
    <t>toi</t>
  </si>
  <si>
    <t>äijä</t>
  </si>
  <si>
    <t>Turvavyö</t>
  </si>
  <si>
    <t>kiinni</t>
  </si>
  <si>
    <t>tosin</t>
  </si>
  <si>
    <t>ymmärrä</t>
  </si>
  <si>
    <t>haluaisin</t>
  </si>
  <si>
    <t>törmäyksen</t>
  </si>
  <si>
    <t>Toisaalta</t>
  </si>
  <si>
    <t>julkaisisi</t>
  </si>
  <si>
    <t>kontrolloidun</t>
  </si>
  <si>
    <t>tuplasokkotutkimuksen</t>
  </si>
  <si>
    <t>positiivisin</t>
  </si>
  <si>
    <t>tuloksin</t>
  </si>
  <si>
    <t>saattaisin</t>
  </si>
  <si>
    <t>harkita</t>
  </si>
  <si>
    <t>SamiAntinniemi</t>
  </si>
  <si>
    <t>Häneltä</t>
  </si>
  <si>
    <t>sain</t>
  </si>
  <si>
    <t>vihiä</t>
  </si>
  <si>
    <t>tepsivästä</t>
  </si>
  <si>
    <t>longcovid</t>
  </si>
  <si>
    <t>hoidostakin</t>
  </si>
  <si>
    <t>Sinusta</t>
  </si>
  <si>
    <t>tulla</t>
  </si>
  <si>
    <t>tohtori</t>
  </si>
  <si>
    <t>Papu</t>
  </si>
  <si>
    <t>verran</t>
  </si>
  <si>
    <t>pitävä</t>
  </si>
  <si>
    <t>ote</t>
  </si>
  <si>
    <t>videossasi</t>
  </si>
  <si>
    <t>Mikäköhän</t>
  </si>
  <si>
    <t>mahtaa</t>
  </si>
  <si>
    <t>seuraava</t>
  </si>
  <si>
    <t>aiheesi</t>
  </si>
  <si>
    <t>typpioksidi</t>
  </si>
  <si>
    <t>vs</t>
  </si>
  <si>
    <t>Viimeinen</t>
  </si>
  <si>
    <t>käytännön</t>
  </si>
  <si>
    <t>pila</t>
  </si>
  <si>
    <t>kollegoille</t>
  </si>
  <si>
    <t>kolaripaikalle</t>
  </si>
  <si>
    <t>mulla</t>
  </si>
  <si>
    <t>paskat</t>
  </si>
  <si>
    <t>housussa</t>
  </si>
  <si>
    <t>Vastasin</t>
  </si>
  <si>
    <t>turvavyöstä</t>
  </si>
  <si>
    <t>mikrosirua</t>
  </si>
  <si>
    <t>varten</t>
  </si>
  <si>
    <t>myöskään</t>
  </si>
  <si>
    <t>koronarokotteista</t>
  </si>
  <si>
    <t>RippperJohnson</t>
  </si>
  <si>
    <t>SamuliGloersen</t>
  </si>
  <si>
    <t>JohnPulm</t>
  </si>
  <si>
    <t>FinReccu</t>
  </si>
  <si>
    <t>ApeKanerva</t>
  </si>
  <si>
    <t>Trump</t>
  </si>
  <si>
    <t>liity</t>
  </si>
  <si>
    <t>asiaan</t>
  </si>
  <si>
    <t>mitenkään</t>
  </si>
  <si>
    <t>Ivermektiinin</t>
  </si>
  <si>
    <t>tutkittu</t>
  </si>
  <si>
    <t>lainauksessa</t>
  </si>
  <si>
    <t>yllä</t>
  </si>
  <si>
    <t>koronapotilaita</t>
  </si>
  <si>
    <t>sattuvat</t>
  </si>
  <si>
    <t>kärsimään</t>
  </si>
  <si>
    <t>madoista</t>
  </si>
  <si>
    <t>joille</t>
  </si>
  <si>
    <t>brändinimi</t>
  </si>
  <si>
    <t>Ibuprofeenin</t>
  </si>
  <si>
    <t>Burana</t>
  </si>
  <si>
    <t>Ibumax</t>
  </si>
  <si>
    <t>Ibusal</t>
  </si>
  <si>
    <t>Stromectol</t>
  </si>
  <si>
    <t>Ivercop</t>
  </si>
  <si>
    <t>tainnut</t>
  </si>
  <si>
    <t>laitat</t>
  </si>
  <si>
    <t>uuteen</t>
  </si>
  <si>
    <t>pakettiin</t>
  </si>
  <si>
    <t>brändäät</t>
  </si>
  <si>
    <t>saman</t>
  </si>
  <si>
    <t>uusiksi</t>
  </si>
  <si>
    <t>Eikö</t>
  </si>
  <si>
    <t>kolmea</t>
  </si>
  <si>
    <t>vaikuttavaa</t>
  </si>
  <si>
    <t>ainetta</t>
  </si>
  <si>
    <t>joista</t>
  </si>
  <si>
    <t>Luettele</t>
  </si>
  <si>
    <t>hoitokeinot</t>
  </si>
  <si>
    <t>lisääntyvän</t>
  </si>
  <si>
    <t>kontrollin</t>
  </si>
  <si>
    <t>injektioiden</t>
  </si>
  <si>
    <t>käytetty</t>
  </si>
  <si>
    <t>ehdotettu</t>
  </si>
  <si>
    <t>uudelleen</t>
  </si>
  <si>
    <t>brändäämä</t>
  </si>
  <si>
    <t>TuoHon</t>
  </si>
  <si>
    <t>MariaNordin</t>
  </si>
  <si>
    <t>Kukin</t>
  </si>
  <si>
    <t>avartaa</t>
  </si>
  <si>
    <t>päivittää</t>
  </si>
  <si>
    <t>tietämystään</t>
  </si>
  <si>
    <t>maailmankuvaansa</t>
  </si>
  <si>
    <t>ottanut</t>
  </si>
  <si>
    <t>käyttöönsä</t>
  </si>
  <si>
    <t>ilmaiset</t>
  </si>
  <si>
    <t>tablettihoidit</t>
  </si>
  <si>
    <t>onnistuneesti</t>
  </si>
  <si>
    <t>Juu</t>
  </si>
  <si>
    <t>sieltä</t>
  </si>
  <si>
    <t>SariHeinonen5</t>
  </si>
  <si>
    <t>Virus</t>
  </si>
  <si>
    <t>herkästi</t>
  </si>
  <si>
    <t>leviävä</t>
  </si>
  <si>
    <t>isäntä</t>
  </si>
  <si>
    <t>mahdollista</t>
  </si>
  <si>
    <t>leviämistä</t>
  </si>
  <si>
    <t>hoito</t>
  </si>
  <si>
    <t>virukseen</t>
  </si>
  <si>
    <t>variaatioihin</t>
  </si>
  <si>
    <t>keino</t>
  </si>
  <si>
    <t>päästä</t>
  </si>
  <si>
    <t>pöpöstä</t>
  </si>
  <si>
    <t>eroon</t>
  </si>
  <si>
    <t>haluta</t>
  </si>
  <si>
    <t>Körönäkööri</t>
  </si>
  <si>
    <t>IVM</t>
  </si>
  <si>
    <t>Lähes</t>
  </si>
  <si>
    <t>Tällainen</t>
  </si>
  <si>
    <t>hän</t>
  </si>
  <si>
    <t>Haista</t>
  </si>
  <si>
    <t>sinä</t>
  </si>
  <si>
    <t>neljä</t>
  </si>
  <si>
    <t>muuta</t>
  </si>
  <si>
    <t>KUOLE</t>
  </si>
  <si>
    <t>EsaHakarauta</t>
  </si>
  <si>
    <t>EloHenri</t>
  </si>
  <si>
    <t>testit</t>
  </si>
  <si>
    <t>placebo</t>
  </si>
  <si>
    <t>kuoli</t>
  </si>
  <si>
    <t>paljo</t>
  </si>
  <si>
    <t>Epäinhimillistä</t>
  </si>
  <si>
    <t>Tämäkin</t>
  </si>
  <si>
    <t>suomalainen</t>
  </si>
  <si>
    <t>tiedossa</t>
  </si>
  <si>
    <t>toukokuussa</t>
  </si>
  <si>
    <t>kiinnosta</t>
  </si>
  <si>
    <t>päättäjiä</t>
  </si>
  <si>
    <t>Sanon</t>
  </si>
  <si>
    <t>jonkun</t>
  </si>
  <si>
    <t>tosi</t>
  </si>
  <si>
    <t>huonomaineisen</t>
  </si>
  <si>
    <t>sanan</t>
  </si>
  <si>
    <t>Hoi</t>
  </si>
  <si>
    <t>Lääkekannabis</t>
  </si>
  <si>
    <t>vuoksi</t>
  </si>
  <si>
    <t>toisen</t>
  </si>
  <si>
    <t>Asiantuntijat</t>
  </si>
  <si>
    <t>Samasta</t>
  </si>
  <si>
    <t>JantunenKaarina</t>
  </si>
  <si>
    <t>Turhaa</t>
  </si>
  <si>
    <t>näistä</t>
  </si>
  <si>
    <t>määristä</t>
  </si>
  <si>
    <t>valittaa</t>
  </si>
  <si>
    <t>todettuu</t>
  </si>
  <si>
    <t>monissa</t>
  </si>
  <si>
    <t>voitettu</t>
  </si>
  <si>
    <t>Jälleen</t>
  </si>
  <si>
    <t>valeuutinen</t>
  </si>
  <si>
    <t>varianttia</t>
  </si>
  <si>
    <t>saatettu</t>
  </si>
  <si>
    <t>bioase</t>
  </si>
  <si>
    <t>johon</t>
  </si>
  <si>
    <t>Tarttuuko</t>
  </si>
  <si>
    <t>herkemmin</t>
  </si>
  <si>
    <t>kiertääkö</t>
  </si>
  <si>
    <t>rokotesuojaa</t>
  </si>
  <si>
    <t>uudesta</t>
  </si>
  <si>
    <t>koronamuunnoksesta</t>
  </si>
  <si>
    <t>tiedetään</t>
  </si>
  <si>
    <t>NymanVeepee</t>
  </si>
  <si>
    <t>Tiedätkö</t>
  </si>
  <si>
    <t>sä</t>
  </si>
  <si>
    <t>Olispa</t>
  </si>
  <si>
    <t>kaikilla</t>
  </si>
  <si>
    <t>FFP3</t>
  </si>
  <si>
    <t>maski</t>
  </si>
  <si>
    <t>päässä</t>
  </si>
  <si>
    <t>julkisissa</t>
  </si>
  <si>
    <t>tiloissa</t>
  </si>
  <si>
    <t>tilanteen</t>
  </si>
  <si>
    <t>Siellä</t>
  </si>
  <si>
    <t>syödään</t>
  </si>
  <si>
    <t>ilmeisesti</t>
  </si>
  <si>
    <t>rutiinilla</t>
  </si>
  <si>
    <t>Valitettavasti</t>
  </si>
  <si>
    <t>perustumaan</t>
  </si>
  <si>
    <t>samaan</t>
  </si>
  <si>
    <t>tekniikkaan</t>
  </si>
  <si>
    <t>Median</t>
  </si>
  <si>
    <t>diskurssi</t>
  </si>
  <si>
    <t>älytöntä</t>
  </si>
  <si>
    <t>ohjailtua</t>
  </si>
  <si>
    <t>ylempää</t>
  </si>
  <si>
    <t>käteen</t>
  </si>
  <si>
    <t>kotiin</t>
  </si>
  <si>
    <t>Parempi</t>
  </si>
  <si>
    <t>parempiakin</t>
  </si>
  <si>
    <t>Esim</t>
  </si>
  <si>
    <t>monoklonaaliset</t>
  </si>
  <si>
    <t>NAD</t>
  </si>
  <si>
    <t>yms</t>
  </si>
  <si>
    <t>labroissa</t>
  </si>
  <si>
    <t>voisi</t>
  </si>
  <si>
    <t>valmistaa</t>
  </si>
  <si>
    <t>Periaatteen</t>
  </si>
  <si>
    <t>toimiminen</t>
  </si>
  <si>
    <t>tehosta</t>
  </si>
  <si>
    <t>tepsisi</t>
  </si>
  <si>
    <t>laajamittaisessa</t>
  </si>
  <si>
    <t>Varmasti</t>
  </si>
  <si>
    <t>tuhannet</t>
  </si>
  <si>
    <t>lääkärit</t>
  </si>
  <si>
    <t>tutkijat</t>
  </si>
  <si>
    <t>aiheeseen</t>
  </si>
  <si>
    <t>eivätkä</t>
  </si>
  <si>
    <t>kuitenkaan</t>
  </si>
  <si>
    <t>ilmaista</t>
  </si>
  <si>
    <t>Mielestäni</t>
  </si>
  <si>
    <t>pitää</t>
  </si>
  <si>
    <t>antiviraalit</t>
  </si>
  <si>
    <t>tyyris</t>
  </si>
  <si>
    <t>taalaa</t>
  </si>
  <si>
    <t>senttiä</t>
  </si>
  <si>
    <t>Fluvoksamiinista</t>
  </si>
  <si>
    <t>lupaavia</t>
  </si>
  <si>
    <t>joko</t>
  </si>
  <si>
    <t>Yleensäkään</t>
  </si>
  <si>
    <t>Näyttää</t>
  </si>
  <si>
    <t>koronakriisi</t>
  </si>
  <si>
    <t>kerran</t>
  </si>
  <si>
    <t>Rokonarokote</t>
  </si>
  <si>
    <t>aiemmin</t>
  </si>
  <si>
    <t>aikaan</t>
  </si>
  <si>
    <t>aikaisemmin</t>
  </si>
  <si>
    <t>aikaisin</t>
  </si>
  <si>
    <t>aikajen</t>
  </si>
  <si>
    <t>aikana</t>
  </si>
  <si>
    <t>aikoina</t>
  </si>
  <si>
    <t>aikoo</t>
  </si>
  <si>
    <t>aikovat</t>
  </si>
  <si>
    <t>aina</t>
  </si>
  <si>
    <t>ainakaan</t>
  </si>
  <si>
    <t>ainoat</t>
  </si>
  <si>
    <t>aiomme</t>
  </si>
  <si>
    <t>aion</t>
  </si>
  <si>
    <t>aiotte</t>
  </si>
  <si>
    <t>aist</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</si>
  <si>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</si>
  <si>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</si>
  <si>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</si>
  <si>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</si>
  <si>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</si>
  <si>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</si>
  <si>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</si>
  <si>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</si>
  <si>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</si>
  <si>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</si>
  <si>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</si>
  <si>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</si>
  <si>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</si>
  <si>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</si>
  <si>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</si>
  <si>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</si>
  <si>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</si>
  <si>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</si>
  <si>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</si>
  <si>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</si>
  <si>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</si>
  <si>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</si>
  <si>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</si>
  <si>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</si>
  <si>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alta</t>
  </si>
  <si>
    <t>aluksi</t>
  </si>
  <si>
    <t>annettavaksi</t>
  </si>
  <si>
    <t>annetteva</t>
  </si>
  <si>
    <t>annettu</t>
  </si>
  <si>
    <t>antamatta</t>
  </si>
  <si>
    <t>antoi</t>
  </si>
  <si>
    <t>aoua</t>
  </si>
  <si>
    <t>apu</t>
  </si>
  <si>
    <t>asiaa</t>
  </si>
  <si>
    <t>asian</t>
  </si>
  <si>
    <t>asiat</t>
  </si>
  <si>
    <t>asioiden</t>
  </si>
  <si>
    <t>asioihin</t>
  </si>
  <si>
    <t>asioita</t>
  </si>
  <si>
    <t>asti</t>
  </si>
  <si>
    <t>avuksi</t>
  </si>
  <si>
    <t>avulla</t>
  </si>
  <si>
    <t>avun</t>
  </si>
  <si>
    <t>avutta</t>
  </si>
  <si>
    <t>edellä</t>
  </si>
  <si>
    <t>edelle</t>
  </si>
  <si>
    <t>edelleen</t>
  </si>
  <si>
    <t>edeltä</t>
  </si>
  <si>
    <t>edemmäs</t>
  </si>
  <si>
    <t>edessä</t>
  </si>
  <si>
    <t>edestä</t>
  </si>
  <si>
    <t>eilen</t>
  </si>
  <si>
    <t>ellei</t>
  </si>
  <si>
    <t>elleivät</t>
  </si>
  <si>
    <t>ellemme</t>
  </si>
  <si>
    <t>ellen</t>
  </si>
  <si>
    <t>ellette</t>
  </si>
  <si>
    <t>emme</t>
  </si>
  <si>
    <t>eniten</t>
  </si>
  <si>
    <t>ensi</t>
  </si>
  <si>
    <t>ensimmäinen</t>
  </si>
  <si>
    <t>ensimmäiseksi</t>
  </si>
  <si>
    <t>ensimmäisen</t>
  </si>
  <si>
    <t>ensimmäisenä</t>
  </si>
  <si>
    <t>ensimmäiset</t>
  </si>
  <si>
    <t>ensimmäisiä</t>
  </si>
  <si>
    <t>ensimmäisiksi</t>
  </si>
  <si>
    <t>ensimmäisinä</t>
  </si>
  <si>
    <t>ensimmäistä</t>
  </si>
  <si>
    <t>entinen</t>
  </si>
  <si>
    <t>entisen</t>
  </si>
  <si>
    <t>entisiä</t>
  </si>
  <si>
    <t>entistä</t>
  </si>
  <si>
    <t>entisten</t>
  </si>
  <si>
    <t>eräät</t>
  </si>
  <si>
    <t>eräiden</t>
  </si>
  <si>
    <t>eräs</t>
  </si>
  <si>
    <t>erityisesti</t>
  </si>
  <si>
    <t>esi</t>
  </si>
  <si>
    <t>esillä</t>
  </si>
  <si>
    <t>eteen</t>
  </si>
  <si>
    <t>etenkin</t>
  </si>
  <si>
    <t>ette</t>
  </si>
  <si>
    <t>haluamatta</t>
  </si>
  <si>
    <t>haluamme</t>
  </si>
  <si>
    <t>haluan</t>
  </si>
  <si>
    <t>haluat</t>
  </si>
  <si>
    <t>haluatte</t>
  </si>
  <si>
    <t>haluavat</t>
  </si>
  <si>
    <t>halunnut</t>
  </si>
  <si>
    <t>halusi</t>
  </si>
  <si>
    <t>halusimme</t>
  </si>
  <si>
    <t>halusin</t>
  </si>
  <si>
    <t>halusit</t>
  </si>
  <si>
    <t>halusitte</t>
  </si>
  <si>
    <t>halusivat</t>
  </si>
  <si>
    <t>halutessa</t>
  </si>
  <si>
    <t>haluton</t>
  </si>
  <si>
    <t>häneen</t>
  </si>
  <si>
    <t>hänellä</t>
  </si>
  <si>
    <t>hänelle</t>
  </si>
  <si>
    <t>häneltä</t>
  </si>
  <si>
    <t>hänen</t>
  </si>
  <si>
    <t>hänessä</t>
  </si>
  <si>
    <t>hänestä</t>
  </si>
  <si>
    <t>hänet</t>
  </si>
  <si>
    <t>heihin</t>
  </si>
  <si>
    <t>heille</t>
  </si>
  <si>
    <t>heiltä</t>
  </si>
  <si>
    <t>heissä</t>
  </si>
  <si>
    <t>heitä</t>
  </si>
  <si>
    <t>hetkellä</t>
  </si>
  <si>
    <t>hieman</t>
  </si>
  <si>
    <t>huomenna</t>
  </si>
  <si>
    <t>hyvät</t>
  </si>
  <si>
    <t>hyvien</t>
  </si>
  <si>
    <t>hyviin</t>
  </si>
  <si>
    <t>hyville</t>
  </si>
  <si>
    <t>hyviltä</t>
  </si>
  <si>
    <t>hyvinä</t>
  </si>
  <si>
    <t>hyvissä</t>
  </si>
  <si>
    <t>hyvistä</t>
  </si>
  <si>
    <t>itseään</t>
  </si>
  <si>
    <t>itsensä</t>
  </si>
  <si>
    <t>jää</t>
  </si>
  <si>
    <t>joiden</t>
  </si>
  <si>
    <t>joiksi</t>
  </si>
  <si>
    <t>joilta</t>
  </si>
  <si>
    <t>jokainen</t>
  </si>
  <si>
    <t>jolle</t>
  </si>
  <si>
    <t>jolloin</t>
  </si>
  <si>
    <t>jolta</t>
  </si>
  <si>
    <t>jompikumpi</t>
  </si>
  <si>
    <t>jonkin</t>
  </si>
  <si>
    <t>jonne</t>
  </si>
  <si>
    <t>joo</t>
  </si>
  <si>
    <t>joskus</t>
  </si>
  <si>
    <t>josta</t>
  </si>
  <si>
    <t>jotenkuten</t>
  </si>
  <si>
    <t>jotta</t>
  </si>
  <si>
    <t>jouduimme</t>
  </si>
  <si>
    <t>jouduin</t>
  </si>
  <si>
    <t>jouduit</t>
  </si>
  <si>
    <t>jouduitte</t>
  </si>
  <si>
    <t>joudumme</t>
  </si>
  <si>
    <t>joudun</t>
  </si>
  <si>
    <t>joudutte</t>
  </si>
  <si>
    <t>joukkoon</t>
  </si>
  <si>
    <t>joukossa</t>
  </si>
  <si>
    <t>joukosta</t>
  </si>
  <si>
    <t>joutua</t>
  </si>
  <si>
    <t>joutui</t>
  </si>
  <si>
    <t>joutuivat</t>
  </si>
  <si>
    <t>joutumaan</t>
  </si>
  <si>
    <t>joutuvat</t>
  </si>
  <si>
    <t>kahdeksan</t>
  </si>
  <si>
    <t>kahdeksannen</t>
  </si>
  <si>
    <t>kahdella</t>
  </si>
  <si>
    <t>kahdelle</t>
  </si>
  <si>
    <t>kahdelta</t>
  </si>
  <si>
    <t>kahden</t>
  </si>
  <si>
    <t>kahdessa</t>
  </si>
  <si>
    <t>kahdesta</t>
  </si>
  <si>
    <t>kahta</t>
  </si>
  <si>
    <t>kahteen</t>
  </si>
  <si>
    <t>kai</t>
  </si>
  <si>
    <t>kaiken</t>
  </si>
  <si>
    <t>kaikilta</t>
  </si>
  <si>
    <t>kaikkea</t>
  </si>
  <si>
    <t>kaikkiaan</t>
  </si>
  <si>
    <t>kaikkialla</t>
  </si>
  <si>
    <t>kaikkialle</t>
  </si>
  <si>
    <t>kaikkialta</t>
  </si>
  <si>
    <t>kaikkien</t>
  </si>
  <si>
    <t>kaikkin</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</si>
  <si>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</si>
  <si>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</si>
  <si>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</si>
  <si>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</si>
  <si>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</si>
  <si>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</si>
  <si>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</si>
  <si>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</si>
  <si>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</si>
  <si>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</si>
  <si>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</si>
  <si>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</si>
  <si>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</si>
  <si>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</si>
  <si>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</si>
  <si>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</si>
  <si>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</si>
  <si>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</si>
  <si>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</si>
  <si>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</si>
  <si>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</si>
  <si>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</si>
  <si>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</si>
  <si>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</si>
  <si>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</si>
  <si>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</si>
  <si>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</si>
  <si>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</si>
  <si>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</si>
  <si>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</si>
  <si>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</si>
  <si>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</si>
  <si>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</si>
  <si>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kerta</t>
  </si>
  <si>
    <t>kertaa</t>
  </si>
  <si>
    <t>kesken</t>
  </si>
  <si>
    <t>keskimäärin</t>
  </si>
  <si>
    <t>ketä</t>
  </si>
  <si>
    <t>ketkä</t>
  </si>
  <si>
    <t>kiitos</t>
  </si>
  <si>
    <t>kohti</t>
  </si>
  <si>
    <t>kolmas</t>
  </si>
  <si>
    <t>kolme</t>
  </si>
  <si>
    <t>kolmen</t>
  </si>
  <si>
    <t>kolmesti</t>
  </si>
  <si>
    <t>koskaan</t>
  </si>
  <si>
    <t>kovin</t>
  </si>
  <si>
    <t>kuka</t>
  </si>
  <si>
    <t>kukin</t>
  </si>
  <si>
    <t>kumpainen</t>
  </si>
  <si>
    <t>kumpainenkaan</t>
  </si>
  <si>
    <t>kumpi</t>
  </si>
  <si>
    <t>kumpikin</t>
  </si>
  <si>
    <t>kuuden</t>
  </si>
  <si>
    <t>kuusi</t>
  </si>
  <si>
    <t>kuutta</t>
  </si>
  <si>
    <t>kyllä</t>
  </si>
  <si>
    <t>kymmenen</t>
  </si>
  <si>
    <t>kyse</t>
  </si>
  <si>
    <t>lähekkäin</t>
  </si>
  <si>
    <t>lähellä</t>
  </si>
  <si>
    <t>lähelle</t>
  </si>
  <si>
    <t>läheltä</t>
  </si>
  <si>
    <t>lähemmäs</t>
  </si>
  <si>
    <t>lähinnä</t>
  </si>
  <si>
    <t>läpi</t>
  </si>
  <si>
    <t>liki</t>
  </si>
  <si>
    <t>luo</t>
  </si>
  <si>
    <t>mahdollisimman</t>
  </si>
  <si>
    <t>me</t>
  </si>
  <si>
    <t>meidän</t>
  </si>
  <si>
    <t>melko</t>
  </si>
  <si>
    <t>meneet</t>
  </si>
  <si>
    <t>menemme</t>
  </si>
  <si>
    <t>menen</t>
  </si>
  <si>
    <t>menet</t>
  </si>
  <si>
    <t>menette</t>
  </si>
  <si>
    <t>menevät</t>
  </si>
  <si>
    <t>meni</t>
  </si>
  <si>
    <t>menimme</t>
  </si>
  <si>
    <t>menin</t>
  </si>
  <si>
    <t>menit</t>
  </si>
  <si>
    <t>menivät</t>
  </si>
  <si>
    <t>mennessä</t>
  </si>
  <si>
    <t>mennyt</t>
  </si>
  <si>
    <t>menossa</t>
  </si>
  <si>
    <t>mikin</t>
  </si>
  <si>
    <t>milloin</t>
  </si>
  <si>
    <t>minä</t>
  </si>
  <si>
    <t>minne</t>
  </si>
  <si>
    <t>minut</t>
  </si>
  <si>
    <t>mistä</t>
  </si>
  <si>
    <t>moi</t>
  </si>
  <si>
    <t>molemmat</t>
  </si>
  <si>
    <t>mones</t>
  </si>
  <si>
    <t>monet</t>
  </si>
  <si>
    <t>moniaalla</t>
  </si>
  <si>
    <t>moniaalle</t>
  </si>
  <si>
    <t>moniaalta</t>
  </si>
  <si>
    <t>muassa</t>
  </si>
  <si>
    <t>muka</t>
  </si>
  <si>
    <t>mukaansa</t>
  </si>
  <si>
    <t>muualle</t>
  </si>
  <si>
    <t>muualta</t>
  </si>
  <si>
    <t>muuanne</t>
  </si>
  <si>
    <t>muulloin</t>
  </si>
  <si>
    <t>muun</t>
  </si>
  <si>
    <t>muutama</t>
  </si>
  <si>
    <t>muutaman</t>
  </si>
  <si>
    <t>muuten</t>
  </si>
  <si>
    <t>myöhemmin</t>
  </si>
  <si>
    <t>myöskin</t>
  </si>
  <si>
    <t>näiden</t>
  </si>
  <si>
    <t>näissä</t>
  </si>
  <si>
    <t>näissähin</t>
  </si>
  <si>
    <t>näissälle</t>
  </si>
  <si>
    <t>näissältä</t>
  </si>
  <si>
    <t>näissästä</t>
  </si>
  <si>
    <t>neljää</t>
  </si>
  <si>
    <t>neljän</t>
  </si>
  <si>
    <t>noin</t>
  </si>
  <si>
    <t>nopeammin</t>
  </si>
  <si>
    <t>nopeasti</t>
  </si>
  <si>
    <t>nopeiten</t>
  </si>
  <si>
    <t>nro</t>
  </si>
  <si>
    <t>olemme</t>
  </si>
  <si>
    <t>olet</t>
  </si>
  <si>
    <t>olette</t>
  </si>
  <si>
    <t>olevan</t>
  </si>
  <si>
    <t>olevat</t>
  </si>
  <si>
    <t>olimme</t>
  </si>
  <si>
    <t>olin</t>
  </si>
  <si>
    <t>olisimme</t>
  </si>
  <si>
    <t>olisin</t>
  </si>
  <si>
    <t>olisit</t>
  </si>
  <si>
    <t>olisitte</t>
  </si>
  <si>
    <t>olisivat</t>
  </si>
  <si>
    <t>olit</t>
  </si>
  <si>
    <t>olitte</t>
  </si>
  <si>
    <t>olivat</t>
  </si>
  <si>
    <t>olleet</t>
  </si>
  <si>
    <t>olli</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</si>
  <si>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</si>
  <si>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</si>
  <si>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</si>
  <si>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</si>
  <si>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</si>
  <si>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</si>
  <si>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</si>
  <si>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</si>
  <si>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</si>
  <si>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</si>
  <si>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</si>
  <si>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</si>
  <si>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</si>
  <si>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</si>
  <si>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</si>
  <si>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</si>
  <si>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</si>
  <si>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</si>
  <si>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</si>
  <si>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</si>
  <si>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</si>
  <si>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</si>
  <si>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parhaillaan</t>
  </si>
  <si>
    <t>parhaiten</t>
  </si>
  <si>
    <t>peräti</t>
  </si>
  <si>
    <t>perusteella</t>
  </si>
  <si>
    <t>pian</t>
  </si>
  <si>
    <t>pieneen</t>
  </si>
  <si>
    <t>pieneksi</t>
  </si>
  <si>
    <t>pienellä</t>
  </si>
  <si>
    <t>pienelle</t>
  </si>
  <si>
    <t>pieneltä</t>
  </si>
  <si>
    <t>pienempi</t>
  </si>
  <si>
    <t>pienestä</t>
  </si>
  <si>
    <t>pieni</t>
  </si>
  <si>
    <t>pienin</t>
  </si>
  <si>
    <t>puolestaan</t>
  </si>
  <si>
    <t>runsaasti</t>
  </si>
  <si>
    <t>saakka</t>
  </si>
  <si>
    <t>sadam</t>
  </si>
  <si>
    <t>samalla</t>
  </si>
  <si>
    <t>samallalta</t>
  </si>
  <si>
    <t>samallassa</t>
  </si>
  <si>
    <t>samallasta</t>
  </si>
  <si>
    <t>samat</t>
  </si>
  <si>
    <t>samoin</t>
  </si>
  <si>
    <t>sata</t>
  </si>
  <si>
    <t>sataa</t>
  </si>
  <si>
    <t>satojen</t>
  </si>
  <si>
    <t>seitsemän</t>
  </si>
  <si>
    <t>silloin</t>
  </si>
  <si>
    <t>silti</t>
  </si>
  <si>
    <t>sinne</t>
  </si>
  <si>
    <t>sinua</t>
  </si>
  <si>
    <t>sinulta</t>
  </si>
  <si>
    <t>sinussa</t>
  </si>
  <si>
    <t>sinusta</t>
  </si>
  <si>
    <t>sinut</t>
  </si>
  <si>
    <t>sisäkkäin</t>
  </si>
  <si>
    <t>sisällä</t>
  </si>
  <si>
    <t>suoraan</t>
  </si>
  <si>
    <t>suuntaan</t>
  </si>
  <si>
    <t>suuren</t>
  </si>
  <si>
    <t>suuret</t>
  </si>
  <si>
    <t>suuri</t>
  </si>
  <si>
    <t>suuria</t>
  </si>
  <si>
    <t>suurin</t>
  </si>
  <si>
    <t>suurten</t>
  </si>
  <si>
    <t>taa</t>
  </si>
  <si>
    <t>täältä</t>
  </si>
  <si>
    <t>taemmas</t>
  </si>
  <si>
    <t>tahansa</t>
  </si>
  <si>
    <t>takaa</t>
  </si>
  <si>
    <t>takaisin</t>
  </si>
  <si>
    <t>takana</t>
  </si>
  <si>
    <t>tällä</t>
  </si>
  <si>
    <t>tällöin</t>
  </si>
  <si>
    <t>tänä</t>
  </si>
  <si>
    <t>tänne</t>
  </si>
  <si>
    <t>tapauksessa</t>
  </si>
  <si>
    <t>tästä</t>
  </si>
  <si>
    <t>tätä</t>
  </si>
  <si>
    <t>täten</t>
  </si>
  <si>
    <t>tavalla</t>
  </si>
  <si>
    <t>tavoitteena</t>
  </si>
  <si>
    <t>täytyvät</t>
  </si>
  <si>
    <t>täytyy</t>
  </si>
  <si>
    <t>te</t>
  </si>
  <si>
    <t>tietysti</t>
  </si>
  <si>
    <t>toinen</t>
  </si>
  <si>
    <t>toisaalla</t>
  </si>
  <si>
    <t>toisaalle</t>
  </si>
  <si>
    <t>toisaalta</t>
  </si>
  <si>
    <t>toiseen</t>
  </si>
  <si>
    <t>toiseksi</t>
  </si>
  <si>
    <t>toisella</t>
  </si>
  <si>
    <t>toiselle</t>
  </si>
  <si>
    <t>toiselta</t>
  </si>
  <si>
    <t>toisemme</t>
  </si>
  <si>
    <t>toisensa</t>
  </si>
  <si>
    <t>toisessa</t>
  </si>
  <si>
    <t>toisesta</t>
  </si>
  <si>
    <t>toista</t>
  </si>
  <si>
    <t>toistaiseksi</t>
  </si>
  <si>
    <t>tuhannen</t>
  </si>
  <si>
    <t>tuhat</t>
  </si>
  <si>
    <t>tule</t>
  </si>
  <si>
    <t>tulemme</t>
  </si>
  <si>
    <t>tulen</t>
  </si>
  <si>
    <t>tulet</t>
  </si>
  <si>
    <t>tulette</t>
  </si>
  <si>
    <t>tulimme</t>
  </si>
  <si>
    <t>tulin</t>
  </si>
  <si>
    <t>tulisimme</t>
  </si>
  <si>
    <t>tulisin</t>
  </si>
  <si>
    <t>tulisit</t>
  </si>
  <si>
    <t>tulisitte</t>
  </si>
  <si>
    <t>tulisivat</t>
  </si>
  <si>
    <t>tulit</t>
  </si>
  <si>
    <t>tulitte</t>
  </si>
  <si>
    <t>tulivat</t>
  </si>
  <si>
    <t>tulleet</t>
  </si>
  <si>
    <t>tuntuu</t>
  </si>
  <si>
    <t>tuolla</t>
  </si>
  <si>
    <t>tuolloin</t>
  </si>
  <si>
    <t>tuolta</t>
  </si>
  <si>
    <t>tuonne</t>
  </si>
  <si>
    <t>tuskin</t>
  </si>
  <si>
    <t>tykö</t>
  </si>
  <si>
    <t>usea</t>
  </si>
  <si>
    <t>useasti</t>
  </si>
  <si>
    <t>useimmiten</t>
  </si>
  <si>
    <t>usein</t>
  </si>
  <si>
    <t>uudeksi</t>
  </si>
  <si>
    <t>uuden</t>
  </si>
  <si>
    <t>uudet</t>
  </si>
  <si>
    <t>uusien</t>
  </si>
  <si>
    <t>uusinta</t>
  </si>
  <si>
    <t>vähemmän</t>
  </si>
  <si>
    <t>vähiten</t>
  </si>
  <si>
    <t>vaiheessa</t>
  </si>
  <si>
    <t>vaikean</t>
  </si>
  <si>
    <t>vaikeat</t>
  </si>
  <si>
    <t>vaikeilla</t>
  </si>
  <si>
    <t>vaikeille</t>
  </si>
  <si>
    <t>vaikeilta</t>
  </si>
  <si>
    <t>vaikeissa</t>
  </si>
  <si>
    <t>vaikeista</t>
  </si>
  <si>
    <t>varsin</t>
  </si>
  <si>
    <t>varsinkin</t>
  </si>
  <si>
    <t>vastakkain</t>
  </si>
  <si>
    <t>vierekkäin</t>
  </si>
  <si>
    <t>vieri</t>
  </si>
  <si>
    <t>viiden</t>
  </si>
  <si>
    <t>viime</t>
  </si>
  <si>
    <t>viimeinen</t>
  </si>
  <si>
    <t>viimeisen</t>
  </si>
  <si>
    <t>viimeksi</t>
  </si>
  <si>
    <t>viisi</t>
  </si>
  <si>
    <t>voimme</t>
  </si>
  <si>
    <t>voin</t>
  </si>
  <si>
    <t>voit</t>
  </si>
  <si>
    <t>voitte</t>
  </si>
  <si>
    <t>vuosien</t>
  </si>
  <si>
    <t>vuosina</t>
  </si>
  <si>
    <t>yhä</t>
  </si>
  <si>
    <t>yhdeksän</t>
  </si>
  <si>
    <t>yhden</t>
  </si>
  <si>
    <t>yhdessä</t>
  </si>
  <si>
    <t>yhtäällä</t>
  </si>
  <si>
    <t>yhtäälle</t>
  </si>
  <si>
    <t>yhtäältä</t>
  </si>
  <si>
    <t>yhteen</t>
  </si>
  <si>
    <t>yhteensä</t>
  </si>
  <si>
    <t>yhteydessä</t>
  </si>
  <si>
    <t>yhteyteen</t>
  </si>
  <si>
    <t>yksittäin</t>
  </si>
  <si>
    <t>yleensä</t>
  </si>
  <si>
    <t>ylemmäs</t>
  </si>
  <si>
    <t>yli</t>
  </si>
  <si>
    <t>ylös</t>
  </si>
  <si>
    <t>ihana</t>
  </si>
  <si>
    <t>mahtava</t>
  </si>
  <si>
    <t>kauhea</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</si>
  <si>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</si>
  <si>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</si>
  <si>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</si>
  <si>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</si>
  <si>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</si>
  <si>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</si>
  <si>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</si>
  <si>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</si>
  <si>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</si>
  <si>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</si>
  <si>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</si>
  <si>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</si>
  <si>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</si>
  <si>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</si>
  <si>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</si>
  <si>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</si>
  <si>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</si>
  <si>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</si>
  <si>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</si>
  <si>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</si>
  <si>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</si>
  <si>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</si>
  <si>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</si>
  <si>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</si>
  <si>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</si>
  <si>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</si>
  <si>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</si>
  <si>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</si>
  <si>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</si>
  <si>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</si>
  <si>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</si>
  <si>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</si>
  <si>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</si>
  <si>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</si>
  <si>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</si>
  <si>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</si>
  <si>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</si>
  <si>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</si>
  <si>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</si>
  <si>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</si>
  <si>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</si>
  <si>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</si>
  <si>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</si>
  <si>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</si>
  <si>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https://twitter.com/millatiuni/status/1466446380843606025</t>
  </si>
  <si>
    <t>https://twitter.com/KorpinenLaura/status/1465773688918364174</t>
  </si>
  <si>
    <t>https://tfiglobalnews.com/2021/11/08/japan-crushes-big-pharma-with-a-small-yet-effective-move/</t>
  </si>
  <si>
    <t>https://www.mediuutiset.fi/uutiset/suomalainen-koronalaake-sai-patentin-nenasumutelaake-auttaa-erityisesti-jos-rokotekattavuus-uhkaa-jaada-liian-matalaksi-sanoo-keksija/4a819848-a71a-423d-b6bc-c9f605667af2</t>
  </si>
  <si>
    <t>https://www.iltalehti.fi/terveysuutiset/a/267d645a-c545-4161-aa04-bc742a580248</t>
  </si>
  <si>
    <t>https://twitter.com/OKuokka/status/1448586562934018050</t>
  </si>
  <si>
    <t>https://fi.wikipedia.org/wiki/Ivermektiini</t>
  </si>
  <si>
    <t>https://www.merck.com/docs/product/safety-data-sheets/ah-sds/Ivermectin%20(3.5_pct)%20Formulation_AH_IE_6N.pdf</t>
  </si>
  <si>
    <t>https://www.thegatewaypundit.com/2021/11/now-365-studies-prove-efficacy-ivermectin-hcq-treating-covid-19-will-anyone-confront-fauci-medical-elites-deception/</t>
  </si>
  <si>
    <t>https://yle.fi/uutiset/3-11916413</t>
  </si>
  <si>
    <t>Entire Graph Count</t>
  </si>
  <si>
    <t>Top URLs in Tweet in G1</t>
  </si>
  <si>
    <t>https://twitter.com/OKuokka/status/1463819121091563522</t>
  </si>
  <si>
    <t>https://www.duodecimlehti.fi/duo12889</t>
  </si>
  <si>
    <t>https://m.xkcd.com/1217/</t>
  </si>
  <si>
    <t>https://koronarealistit.com/mikko-paunio-sulkutoimet-pois-ivermektiini-ja-d-vitamiini-kayttoon-big-pharman-hyysays-saa-loppua/</t>
  </si>
  <si>
    <t>Top URLs in Tweet in G2</t>
  </si>
  <si>
    <t>G1 Count</t>
  </si>
  <si>
    <t>https://www.covid19treatmentguidelines.nih.gov/tables/table-2e/</t>
  </si>
  <si>
    <t>https://www.nobelprize.org/prizes/medicine/2015/press-release/</t>
  </si>
  <si>
    <t>https://twitter.com/MikaelNiku/status/1465643529154277378</t>
  </si>
  <si>
    <t>https://ebm.bmj.com/content/early/2021/05/26/bmjebm-2021-111678</t>
  </si>
  <si>
    <t>https://ivmmeta.com/</t>
  </si>
  <si>
    <t>Top URLs in Tweet in G3</t>
  </si>
  <si>
    <t>G2 Count</t>
  </si>
  <si>
    <t>https://pubmed.ncbi.nlm.nih.gov/34466270/</t>
  </si>
  <si>
    <t>Top URLs in Tweet in G4</t>
  </si>
  <si>
    <t>G3 Count</t>
  </si>
  <si>
    <t>Top URLs in Tweet in G5</t>
  </si>
  <si>
    <t>G4 Count</t>
  </si>
  <si>
    <t>https://www.reddit.com/r/conspiracy/comments/pkcl0k/im_a_physician_from_egypt_thats_the_latest_update/</t>
  </si>
  <si>
    <t>https://www.worldometers.info/coronavirus/</t>
  </si>
  <si>
    <t>Top URLs in Tweet in G6</t>
  </si>
  <si>
    <t>G5 Count</t>
  </si>
  <si>
    <t>Top URLs in Tweet in G7</t>
  </si>
  <si>
    <t>G6 Count</t>
  </si>
  <si>
    <t>Top URLs in Tweet in G8</t>
  </si>
  <si>
    <t>G7 Count</t>
  </si>
  <si>
    <t>https://c19early.com/</t>
  </si>
  <si>
    <t>https://twitter.com/Tommi_Kinnunen/status/1465795338552459274</t>
  </si>
  <si>
    <t>Top URLs in Tweet in G9</t>
  </si>
  <si>
    <t>G8 Count</t>
  </si>
  <si>
    <t>Top URLs in Tweet in G10</t>
  </si>
  <si>
    <t>G9 Count</t>
  </si>
  <si>
    <t>https://eu.usatoday.com/story/news/factcheck/2021/05/21/fact-check-india-covid-19-cases-hydroxychloroquine-not-related/5173021001/</t>
  </si>
  <si>
    <t>https://eu.usatoday.com/story/news/factcheck/2021/05/11/fact-check-indias-covid-19-surge-not-connected-vaccinations/4988690001/</t>
  </si>
  <si>
    <t>G10 Count</t>
  </si>
  <si>
    <t>Top URLs in Tweet</t>
  </si>
  <si>
    <t>https://twitter.com/millatiuni/status/1466446380843606025 https://twitter.com/KorpinenLaura/status/1465773688918364174 https://tfiglobalnews.com/2021/11/08/japan-crushes-big-pharma-with-a-small-yet-effective-move/ https://www.iltalehti.fi/terveysuutiset/a/267d645a-c545-4161-aa04-bc742a580248 https://twitter.com/OKuokka/status/1448586562934018050 https://yle.fi/uutiset/3-11916413 https://twitter.com/OKuokka/status/1463819121091563522 https://www.duodecimlehti.fi/duo12889 https://m.xkcd.com/1217/ https://koronarealistit.com/mikko-paunio-sulkutoimet-pois-ivermektiini-ja-d-vitamiini-kayttoon-big-pharman-hyysays-saa-loppua/</t>
  </si>
  <si>
    <t>https://fi.wikipedia.org/wiki/Ivermektiini https://www.merck.com/docs/product/safety-data-sheets/ah-sds/Ivermectin%20(3.5_pct)%20Formulation_AH_IE_6N.pdf https://www.covid19treatmentguidelines.nih.gov/tables/table-2e/ https://www.nobelprize.org/prizes/medicine/2015/press-release/ https://www.mediuutiset.fi/uutiset/suomalainen-koronalaake-sai-patentin-nenasumutelaake-auttaa-erityisesti-jos-rokotekattavuus-uhkaa-jaada-liian-matalaksi-sanoo-keksija/4a819848-a71a-423d-b6bc-c9f605667af2 https://twitter.com/MikaelNiku/status/1465643529154277378 https://ebm.bmj.com/content/early/2021/05/26/bmjebm-2021-111678 https://ivmmeta.com/</t>
  </si>
  <si>
    <t>https://twitter.com/millatiuni/status/1466446380843606025 https://www.thegatewaypundit.com/2021/11/now-365-studies-prove-efficacy-ivermectin-hcq-treating-covid-19-will-anyone-confront-fauci-medical-elites-deception/ https://pubmed.ncbi.nlm.nih.gov/34466270/ https://secure.jbs.elsevierhealth.com/action/getSharedSiteSession?redirect=https%3A%2F%2Fwww.thelancet.com%2Fjournals%2Flanepe%2Farticle%2FPIIS2666-7762%2821%2900258-1%2Ffulltext%3Fs%3D08%26fbclid%3DIwAR26JHRPQC0fWgEDr3tbyVwMvJhtMzhPXFcFlACyBwRgIHHZK9EozoZu6vA&amp;rc=0</t>
  </si>
  <si>
    <t>https://www.reddit.com/r/conspiracy/comments/pkcl0k/im_a_physician_from_egypt_thats_the_latest_update/ https://twitter.com/millatiuni/status/1466446380843606025 https://www.worldometers.info/coronavirus/</t>
  </si>
  <si>
    <t>https://c19early.com/ https://twitter.com/Tommi_Kinnunen/status/1465795338552459274</t>
  </si>
  <si>
    <t>https://www.cnbc.com/amp/2021/11/29/pfizer-ceo-confident-covid-treatment-pill-effective-against-omicron-variant.html</t>
  </si>
  <si>
    <t>https://twitter.com/JMelart/status/1464528600175194112?t=8W7vxt5OKB2HWb90z_Ifig&amp;s=19</t>
  </si>
  <si>
    <t>https://www.mediuutiset.fi/uutiset/suomalainen-koronalaake-sai-patentin-nenasumutelaake-auttaa-erityisesti-jos-rokotekattavuus-uhkaa-jaada-liian-matalaksi-sanoo-keksija/4a819848-a71a-423d-b6bc-c9f605667af2 http://www.msn.com/fi-fi/uutiset/kotimaa/tarttuuko-herkemmin-kiert%c3%a4%c3%a4k%c3%b6-rokotesuojaa-t%c3%a4m%c3%a4-uudesta-koronamuunnoksesta-tiedet%c3%a4%c3%a4n-nyt/ar-AAR9wbX?ocid=st</t>
  </si>
  <si>
    <t>https://twitter.com/kallmemeg/status/1463493922437619715</t>
  </si>
  <si>
    <t>Top Domains in Tweet in Entire Graph</t>
  </si>
  <si>
    <t>usatoday.com</t>
  </si>
  <si>
    <t>Top Domains in Tweet in G1</t>
  </si>
  <si>
    <t>koronarealistit.com</t>
  </si>
  <si>
    <t>rclutz.com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</si>
  <si>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</si>
  <si>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</si>
  <si>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</si>
  <si>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</si>
  <si>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</si>
  <si>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</si>
  <si>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</si>
  <si>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</si>
  <si>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</si>
  <si>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</si>
  <si>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tfiglobalnews.com iltalehti.fi yle.fi duodecimlehti.fi xkcd.com koronarealistit.com rclutz.com</t>
  </si>
  <si>
    <t>wikipedia.org merck.com nih.gov nobelprize.org mediuutiset.fi twitter.com bmj.com ivmmeta.com</t>
  </si>
  <si>
    <t>twitter.com thegatewaypundit.com nih.gov elsevierhealth.com</t>
  </si>
  <si>
    <t>reddit.com twitter.com worldometers.info</t>
  </si>
  <si>
    <t>c19early.com twitter.com</t>
  </si>
  <si>
    <t>mediuutiset.fi msn.com</t>
  </si>
  <si>
    <t>Top Hashtags in Tweet in Entire Graph</t>
  </si>
  <si>
    <t>rokonarokote</t>
  </si>
  <si>
    <t>hydroxychloroquine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</si>
  <si>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</si>
  <si>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</si>
  <si>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</si>
  <si>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</si>
  <si>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</si>
  <si>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</si>
  <si>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</si>
  <si>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</si>
  <si>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</si>
  <si>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</si>
  <si>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</si>
  <si>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ivermektiini ivermectin</t>
  </si>
  <si>
    <t>ivermektiini koronafi takki hcq molnupiravir</t>
  </si>
  <si>
    <t>koronafi ivermektiini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</si>
  <si>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</si>
  <si>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</si>
  <si>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</si>
  <si>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</si>
  <si>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</si>
  <si>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</si>
  <si>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</si>
  <si>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</si>
  <si>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</si>
  <si>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</si>
  <si>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</si>
  <si>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</si>
  <si>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ivermektiini vaikuttavat aineet aprotiniini hydroksiklorokiini tunnettuja käytössä uudessa lääkkeessä käytettävät</t>
  </si>
  <si>
    <t>ivermektiini tommi_kinnunen muhisazizi mvirtanen ihmisille toimi hyväksytty ennenkuin hoitoon oikeasti</t>
  </si>
  <si>
    <t>ivermektiini suomessa mika_salminen hnohynek #ivermektiini japani tehnyt sellaista tehty thlorg</t>
  </si>
  <si>
    <t>ivermektiini d käyttöön lääkkeet suomessakin todetut c vitamiinin sinkin hydroksiklorokiini</t>
  </si>
  <si>
    <t>ivermektiini ihmiset tietoa nasimarazmyar julkaiskaa tarkka listaus sairaalahoitoon joutuneiden koronapotilaiden</t>
  </si>
  <si>
    <t>ivermektiini käyttöön lasleh rokotteen iltasanomat piikkiä piikki osoittautunut janimakelafi tehokkaaksi</t>
  </si>
  <si>
    <t>ivermektiini mikaihamuotila sarasvuojari matti_reinikka juu taisivat japanissa osassa intiaa ottaakin</t>
  </si>
  <si>
    <t>ivermektiini hannasokajarvi hoopoilua lindenaki tilalle toimii 3 kausi piikit toimi</t>
  </si>
  <si>
    <t>hannu42 ivermektiini samuligloersen rippperjohnson finreccu apekanerva pfizerin rokotukset seis turvavälit</t>
  </si>
  <si>
    <t>ivermektiini intiassa hoi kannabisaktiivit oletteko ajatelleet lääkekannabis amp yllättävän yhtäläisiä</t>
  </si>
  <si>
    <t>pbyrokraatti ivermektiini 5g tä</t>
  </si>
  <si>
    <t>ivermektiini körönäkööri estää suomessa ivm tabletti hoidolla saa todistetusti tuloksia</t>
  </si>
  <si>
    <t>kuole ivermektiini denialisti uudessa lääkkeessä käytettävät vaikuttavat aineet aprotiniini hydroksiklorokiini</t>
  </si>
  <si>
    <t>jyrkikononen ivermektiini</t>
  </si>
  <si>
    <t>covid 19 hoidossa</t>
  </si>
  <si>
    <t>ihmisille tapio_suominen määrätään tuhansia sai ivermektiini</t>
  </si>
  <si>
    <t>näyttää silta #suomessa aiheutetaan tahalleen #koronakriisi hallituksen toimesta suomalaisilta rajoitetaan</t>
  </si>
  <si>
    <t>Top Word Pairs in Tweet in Entire Graph</t>
  </si>
  <si>
    <t>hydroksiklorokiini,ivermektiini</t>
  </si>
  <si>
    <t>vaikuttavat,aineet</t>
  </si>
  <si>
    <t>aineet,aprotiniini</t>
  </si>
  <si>
    <t>aprotiniini,hydroksiklorokiini</t>
  </si>
  <si>
    <t>uudessa,lääkkeessä</t>
  </si>
  <si>
    <t>lääkkeessä,käytettävät</t>
  </si>
  <si>
    <t>käytettävät,vaikuttavat</t>
  </si>
  <si>
    <t>tunnettuja,laajalti</t>
  </si>
  <si>
    <t>laajalti,käytössä</t>
  </si>
  <si>
    <t>mika_salminen,hnohynek</t>
  </si>
  <si>
    <t>Top Word Pairs in Tweet in G1</t>
  </si>
  <si>
    <t>ivermektiini,tunnettuja</t>
  </si>
  <si>
    <t>Top Word Pairs in Tweet in G2</t>
  </si>
  <si>
    <t>tommi_kinnunen,muhisazizi</t>
  </si>
  <si>
    <t>muhisazizi,ivermektiini</t>
  </si>
  <si>
    <t>mvirtanen,muhisazizi</t>
  </si>
  <si>
    <t>ivermektiini,hyväksytty</t>
  </si>
  <si>
    <t>muhisazizi,aineet</t>
  </si>
  <si>
    <t>aineet,tutut</t>
  </si>
  <si>
    <t>tutut,särkylääkkeet</t>
  </si>
  <si>
    <t>särkylääkkeet,toimivat</t>
  </si>
  <si>
    <t>toimivat,useammilla</t>
  </si>
  <si>
    <t>useammilla,yhdellä</t>
  </si>
  <si>
    <t>Top Word Pairs in Tweet in G3</t>
  </si>
  <si>
    <t>japani,tehnyt</t>
  </si>
  <si>
    <t>tehnyt,sellaista</t>
  </si>
  <si>
    <t>sellaista,suomessa</t>
  </si>
  <si>
    <t>suomessa,tehty</t>
  </si>
  <si>
    <t>tehty,#ivermektiini</t>
  </si>
  <si>
    <t>#ivermektiini,mika_salminen</t>
  </si>
  <si>
    <t>huono,pelastaja</t>
  </si>
  <si>
    <t>janimakelafi,ivermektiini</t>
  </si>
  <si>
    <t>ivermektiini,huono</t>
  </si>
  <si>
    <t>Top Word Pairs in Tweet in G4</t>
  </si>
  <si>
    <t>todetut,lääkkeet</t>
  </si>
  <si>
    <t>lääkkeet,käyttöön</t>
  </si>
  <si>
    <t>käyttöön,d</t>
  </si>
  <si>
    <t>d,c</t>
  </si>
  <si>
    <t>c,vitamiinin</t>
  </si>
  <si>
    <t>vitamiinin,sinkin</t>
  </si>
  <si>
    <t>sinkin,hydroksiklorokiini</t>
  </si>
  <si>
    <t>ottakaa,ihmeessä</t>
  </si>
  <si>
    <t>ihmeessä,suomessakin</t>
  </si>
  <si>
    <t>Top Word Pairs in Tweet in G5</t>
  </si>
  <si>
    <t>nasimarazmyar,julkaiskaa</t>
  </si>
  <si>
    <t>julkaiskaa,tarkka</t>
  </si>
  <si>
    <t>tarkka,listaus</t>
  </si>
  <si>
    <t>listaus,sairaalahoitoon</t>
  </si>
  <si>
    <t>sairaalahoitoon,joutuneiden</t>
  </si>
  <si>
    <t>joutuneiden,koronapotilaiden</t>
  </si>
  <si>
    <t>koronapotilaiden,ikäjakaumasta</t>
  </si>
  <si>
    <t>ikäjakaumasta,painoindeksistä</t>
  </si>
  <si>
    <t>painoindeksistä,sairauksien</t>
  </si>
  <si>
    <t>sairauksien,lääkitysten</t>
  </si>
  <si>
    <t>Top Word Pairs in Tweet in G6</t>
  </si>
  <si>
    <t>ivermektiini,käyttöön</t>
  </si>
  <si>
    <t>käyttöön,rokotteen</t>
  </si>
  <si>
    <t>Top Word Pairs in Tweet in G7</t>
  </si>
  <si>
    <t>matti_reinikka,mikaihamuotila</t>
  </si>
  <si>
    <t>mikaihamuotila,juu</t>
  </si>
  <si>
    <t>juu,taisivat</t>
  </si>
  <si>
    <t>taisivat,japanissa</t>
  </si>
  <si>
    <t>japanissa,osassa</t>
  </si>
  <si>
    <t>osassa,intiaa</t>
  </si>
  <si>
    <t>intiaa,ottaakin</t>
  </si>
  <si>
    <t>ottaakin,käyttöön</t>
  </si>
  <si>
    <t>käyttöön,korona</t>
  </si>
  <si>
    <t>korona,käytännössä</t>
  </si>
  <si>
    <t>Top Word Pairs in Tweet in G8</t>
  </si>
  <si>
    <t>hannasokajarvi,hoopoilua</t>
  </si>
  <si>
    <t>lindenaki,ivermektiini</t>
  </si>
  <si>
    <t>Top Word Pairs in Tweet in G9</t>
  </si>
  <si>
    <t>hannu42,rippperjohnson</t>
  </si>
  <si>
    <t>rippperjohnson,finreccu</t>
  </si>
  <si>
    <t>finreccu,samuligloersen</t>
  </si>
  <si>
    <t>hannu42,rokotukset</t>
  </si>
  <si>
    <t>rokotukset,seis</t>
  </si>
  <si>
    <t>johnpulm,hannu42</t>
  </si>
  <si>
    <t>samuligloersen,apekanerva</t>
  </si>
  <si>
    <t>Top Word Pairs in Tweet in G10</t>
  </si>
  <si>
    <t>hoi,kannabisaktiivit</t>
  </si>
  <si>
    <t>kannabisaktiivit,oletteko</t>
  </si>
  <si>
    <t>oletteko,ajatelleet</t>
  </si>
  <si>
    <t>ajatelleet,lääkekannabis</t>
  </si>
  <si>
    <t>lääkekannabis,amp</t>
  </si>
  <si>
    <t>amp,ivermektiini</t>
  </si>
  <si>
    <t>ivermektiini,yllättävän</t>
  </si>
  <si>
    <t>yllättävän,yhtäläisiä</t>
  </si>
  <si>
    <t>yhtäläisiä,tekijöitä</t>
  </si>
  <si>
    <t>tekijöitä,olennainen</t>
  </si>
  <si>
    <t>Top Word Pairs in Tweet</t>
  </si>
  <si>
    <t>vaikuttavat,aineet  aineet,aprotiniini  aprotiniini,hydroksiklorokiini  uudessa,lääkkeessä  lääkkeessä,käytettävät  käytettävät,vaikuttavat  tunnettuja,laajalti  laajalti,käytössä  hydroksiklorokiini,ivermektiini  ivermektiini,tunnettuja</t>
  </si>
  <si>
    <t>tommi_kinnunen,muhisazizi  muhisazizi,ivermektiini  mvirtanen,muhisazizi  ivermektiini,hyväksytty  muhisazizi,aineet  aineet,tutut  tutut,särkylääkkeet  särkylääkkeet,toimivat  toimivat,useammilla  useammilla,yhdellä</t>
  </si>
  <si>
    <t>mika_salminen,hnohynek  japani,tehnyt  tehnyt,sellaista  sellaista,suomessa  suomessa,tehty  tehty,#ivermektiini  #ivermektiini,mika_salminen  huono,pelastaja  janimakelafi,ivermektiini  ivermektiini,huono</t>
  </si>
  <si>
    <t>todetut,lääkkeet  lääkkeet,käyttöön  käyttöön,d  d,c  c,vitamiinin  vitamiinin,sinkin  sinkin,hydroksiklorokiini  hydroksiklorokiini,ivermektiini  ottakaa,ihmeessä  ihmeessä,suomessakin</t>
  </si>
  <si>
    <t>nasimarazmyar,julkaiskaa  julkaiskaa,tarkka  tarkka,listaus  listaus,sairaalahoitoon  sairaalahoitoon,joutuneiden  joutuneiden,koronapotilaiden  koronapotilaiden,ikäjakaumasta  ikäjakaumasta,painoindeksistä  painoindeksistä,sairauksien  sairauksien,lääkitysten</t>
  </si>
  <si>
    <t>ivermektiini,käyttöön  käyttöön,rokotteen</t>
  </si>
  <si>
    <t>matti_reinikka,mikaihamuotila  mikaihamuotila,juu  juu,taisivat  taisivat,japanissa  japanissa,osassa  osassa,intiaa  intiaa,ottaakin  ottaakin,käyttöön  käyttöön,korona  korona,käytännössä</t>
  </si>
  <si>
    <t>hannasokajarvi,hoopoilua  lindenaki,ivermektiini</t>
  </si>
  <si>
    <t>hannu42,rippperjohnson  rippperjohnson,finreccu  finreccu,samuligloersen  hannu42,rokotukset  rokotukset,seis  johnpulm,hannu42  samuligloersen,apekanerva</t>
  </si>
  <si>
    <t>hoi,kannabisaktiivit  kannabisaktiivit,oletteko  oletteko,ajatelleet  ajatelleet,lääkekannabis  lääkekannabis,amp  amp,ivermektiini  ivermektiini,yllättävän  yllättävän,yhtäläisiä  yhtäläisiä,tekijöitä  tekijöitä,olennainen</t>
  </si>
  <si>
    <t>5g,tä</t>
  </si>
  <si>
    <t>körönäkööri,estää  estää,suomessa  suomessa,ivm  ivm,ivermektiini  ivermektiini,tabletti  tabletti,hoidolla  hoidolla,saa  saa,todistetusti  todistetusti,tuloksia  tuloksia,ilmainen</t>
  </si>
  <si>
    <t>kuole,kuole  uudessa,lääkkeessä  lääkkeessä,käytettävät  käytettävät,vaikuttavat  vaikuttavat,aineet  aineet,aprotiniini  aprotiniini,hydroksiklorokiini  hydroksiklorokiini,ivermektiini  ivermektiini,tunnettuja  tunnettuja,laajalti</t>
  </si>
  <si>
    <t>covid,19  19,hoidossa</t>
  </si>
  <si>
    <t>näyttää,silta  silta,#suomessa  #suomessa,aiheutetaan  aiheutetaan,tahalleen  tahalleen,#koronakriisi  #koronakriisi,hallituksen  hallituksen,toimesta  toimesta,suomalaisilta  suomalaisilta,rajoitetaan  rajoitetaan,pois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</si>
  <si>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</si>
  <si>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</si>
  <si>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</si>
  <si>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</si>
  <si>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</si>
  <si>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</si>
  <si>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</si>
  <si>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</si>
  <si>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</si>
  <si>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</si>
  <si>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</si>
  <si>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</si>
  <si>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</si>
  <si>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</si>
  <si>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</si>
  <si>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</si>
  <si>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</si>
  <si>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</si>
  <si>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</si>
  <si>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</si>
  <si>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</si>
  <si>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</si>
  <si>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</si>
  <si>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korpinenlaura suviturtiainen investorimagin1 tmhirvi xxxeerh timo_lappi uusisuomi tommi_kinnunen emppuvuori hannu42</t>
  </si>
  <si>
    <t>tommi_kinnunen mvirtanen koljonen_tuomas juhaniknuuti nasimarazmyar xarzi19 kiili suviturtiainen montomik hituvati</t>
  </si>
  <si>
    <t>janimakelafi thlorg koronakuiskaaja lasleh stm_uutiset siniveikko anrajala markussovala</t>
  </si>
  <si>
    <t>tomiaalto3 hakalaolli leenakeinnen1 nasimarazmyar sale43903750 sarisarkomaa isakstom tiinakeskimki mirkhe aittolaeija</t>
  </si>
  <si>
    <t>nasimarazmyar leanvaltio mikaeljungner er_korhola raitziger mattimuukkonen leanjuha vainionpaaeero satuhassi jukkapetterila1</t>
  </si>
  <si>
    <t>lasleh panu_saarela perttipiirto 79tuuli pirijanne zirkkeli1 nuuska eevapirila sebastianmaki</t>
  </si>
  <si>
    <t>sarasvuojari matti_reinikka molkanenoskari darguner1</t>
  </si>
  <si>
    <t>hannasokajarvi koivupuroeero lehtinenmarkkua hoopoilua</t>
  </si>
  <si>
    <t>hannu42 rippperjohnson johnpulm rvalimaki</t>
  </si>
  <si>
    <t>jutasa54 lauri_paavola mikkokorhonen12</t>
  </si>
  <si>
    <t>sekoomus jyrkikononen</t>
  </si>
  <si>
    <t>Top Mentioned in Tweet</t>
  </si>
  <si>
    <t>koomikkokivi korpinenlaura a28748626 minnaeck mtvsuomi muhisazizi takapirulainen spihatto investorimagin1 mika_salminen</t>
  </si>
  <si>
    <t>muhisazizi tommi_kinnunen mvirtanen jonnasep vsavela soalmila kreetalainen nakkeman jounipeltoniemi penjussi</t>
  </si>
  <si>
    <t>mika_salminen hnohynek hus_fi thlorg fimea mmaitoparta hsfi sarasvuojari salineero who</t>
  </si>
  <si>
    <t>turtiainenano huuhtanenpanu tiinakeskimki kromantikko huhtasaarisaara laurahuhtasaari ikenovikoff reaverteknogods juha_korh2 johanbek</t>
  </si>
  <si>
    <t>mikaeljungner raitziger jarnovirtanen2 anni_lahti_ sujofin mika_salminen hnohynek lauri_linden satuhassi mattimuukkonen</t>
  </si>
  <si>
    <t>iltasanomat lasleh janimakelafi turnukkaparta ailavilen kaarirossi hsfi madetojastig riku_ranta minna_talvitie</t>
  </si>
  <si>
    <t>mikaihamuotila esahakarauta elohenri korpinenlaura sarasvuojari</t>
  </si>
  <si>
    <t>lindenaki hoopoilua totuusseerumi dgtiainen tommih9 jethrorostedt katjakurk karnamikko hannasokajarvi</t>
  </si>
  <si>
    <t>samuligloersen finreccu apekanerva hannu42 rippperjohnson mika_salminen hnohynek johnpulm rvalimaki</t>
  </si>
  <si>
    <t>lotta_hallstrom mkorja pierrekory</t>
  </si>
  <si>
    <t>ihmemimmi tuomasenbuske</t>
  </si>
  <si>
    <t>hpekk yleuutiset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</si>
  <si>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</si>
  <si>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</si>
  <si>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</si>
  <si>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</si>
  <si>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</si>
  <si>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</si>
  <si>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</si>
  <si>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</si>
  <si>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</si>
  <si>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</si>
  <si>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</si>
  <si>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</si>
  <si>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koomikkokivi madetojastig takapirulainen uusisuomi markkulaitinen3 areyounoob jt36292090 odds_12 universumin ehle81</t>
  </si>
  <si>
    <t>soalmila eliasaarnio heikkiray quuquu tommi_kinnunen mvirtanen penjussi mikkofabric mikaelniku hituvati</t>
  </si>
  <si>
    <t>maaninkavaara huuhtanenpanu sannapiipponen who janimakelafi artolehikoinen thlorg stm_uutiset salineero teetee63tee</t>
  </si>
  <si>
    <t>kromantikko tiinakeskimki isakstom laurahuhtasaari hobfit1 suskulondon mirkhe johanbek sarisarkomaa juha_korh2</t>
  </si>
  <si>
    <t>raitziger satuhassi mikaeljungner useyour_____ lauri_linden leanvaltio er_korhola heinikettunen sujofin reviewpierre</t>
  </si>
  <si>
    <t>iltasanomat jantunenkaarina hsfi makrikali pirijanne nuuska sebastianmaki arquez13 zirkkeli1 pesakauha</t>
  </si>
  <si>
    <t>sarasvuojari esahakarauta elohenri etelanmies lainerjlaine mikaihamuotila kilpirinne_veli darguner1 terokans matti_reinikka</t>
  </si>
  <si>
    <t>katjakurk karnamikko hoopoilua lehtinenmarkkua eevapirila jethrorostedt tommih9 lindenaki foliohattu5g hannasokajarvi</t>
  </si>
  <si>
    <t>samuligloersen apekanerva rvalimaki hannu42 lestercdiamond johnpulm rippperjohnson finreccu</t>
  </si>
  <si>
    <t>mikkokorhonen12 lauri_paavola neongho96790876 tomz0r heikkipalve jutasa54</t>
  </si>
  <si>
    <t>pbockerman mkorja lotta_hallstrom kviikari pierrekory</t>
  </si>
  <si>
    <t>ambyr00 pbyrokraatti ristoreipas10 teemual kikkimirri</t>
  </si>
  <si>
    <t>tuomasenbuske pmeemit ihmemimmi henri54106227</t>
  </si>
  <si>
    <t>marianordin hirvonenjo arlenmerlen tuohon</t>
  </si>
  <si>
    <t>yleuutiset nymanveepee hpekk voinpahoin</t>
  </si>
  <si>
    <t>jarileino3 nullius_ marymindys kirsi_anneli</t>
  </si>
  <si>
    <t>ivanpuopolo nestorihuuskon1 anttigee</t>
  </si>
  <si>
    <t>jyrkikononen sekoomus rope55543770</t>
  </si>
  <si>
    <t>zin_zah finnelandia teuraskarju</t>
  </si>
  <si>
    <t>bp20185 tuomejoo anttipirttimaki</t>
  </si>
  <si>
    <t>kankioy puolimatkatapio</t>
  </si>
  <si>
    <t>paullindema maria33385</t>
  </si>
  <si>
    <t>tatianadesancti teslailija</t>
  </si>
  <si>
    <t>arttuhamalainen nenuhnet</t>
  </si>
  <si>
    <t>tapio_suominen taskinenvili</t>
  </si>
  <si>
    <t>petri_pellinen samiantinniemi</t>
  </si>
  <si>
    <t>sariheinonen5 kat918345</t>
  </si>
  <si>
    <t>iinamaki koronafi</t>
  </si>
  <si>
    <t>URLs in Tweet by Count</t>
  </si>
  <si>
    <t>https://tfiglobalnews.com/2021/11/08/japan-crushes-big-pharma-with-a-small-yet-effective-move/ https://koronarealistit.com/mikko-paunio-sulkutoimet-pois-ivermektiini-ja-d-vitamiini-kayttoon-big-pharman-hyysays-saa-loppua/ https://rclutz.com/2021/09/05/japanese-medical-chairmen-doubles-down-on-ivm/</t>
  </si>
  <si>
    <t>http://www.msn.com/fi-fi/uutiset/kotimaa/tarttuuko-herkemmin-kiert%c3%a4%c3%a4k%c3%b6-rokotesuojaa-t%c3%a4m%c3%a4-uudesta-koronamuunnoksesta-tiedet%c3%a4%c3%a4n-nyt/ar-AAR9wbX?ocid=st</t>
  </si>
  <si>
    <t>https://twitter.com/OKuokka/status/1463819121091563522 https://twitter.com/OKuokka/status/1448586562934018050 https://twitter.com/millatiuni/status/1466446380843606025 https://www.iltalehti.fi/terveysuutiset/a/267d645a-c545-4161-aa04-bc742a580248 https://yle.fi/uutiset/3-11916413</t>
  </si>
  <si>
    <t>https://www.duodecimlehti.fi/duo12889 https://twitter.com/KorpinenLaura/status/1465773688918364174</t>
  </si>
  <si>
    <t>https://twitter.com/MikaelNiku/status/1465643529154277378 https://www.merck.com/docs/product/safety-data-sheets/ah-sds/Ivermectin%20(3.5_pct)%20Formulation_AH_IE_6N.pdf</t>
  </si>
  <si>
    <t>https://twitter.com/OKuokka/status/1448586562934018050 https://yle.fi/uutiset/3-11916413 https://tfiglobalnews.com/2021/11/08/japan-crushes-big-pharma-with-a-small-yet-effective-move/</t>
  </si>
  <si>
    <t>https://twitter.com/OKuokka/status/1448586562934018050 https://tfiglobalnews.com/2021/11/08/japan-crushes-big-pharma-with-a-small-yet-effective-move/</t>
  </si>
  <si>
    <t>https://twitter.com/KorpinenLaura/status/1465773688918364174 https://www.iltalehti.fi/terveysuutiset/a/267d645a-c545-4161-aa04-bc742a580248</t>
  </si>
  <si>
    <t>https://twitter.com/millatiuni/status/1466446380843606025 https://www.thegatewaypundit.com/2021/11/now-365-studies-prove-efficacy-ivermectin-hcq-treating-covid-19-will-anyone-confront-fauci-medical-elites-deception/</t>
  </si>
  <si>
    <t>https://twitter.com/millatiuni/status/1466446380843606025 https://twitter.com/KorpinenLaura/status/1465773688918364174</t>
  </si>
  <si>
    <t>URLs in Tweet by Salience</t>
  </si>
  <si>
    <t>https://koronarealistit.com/mikko-paunio-sulkutoimet-pois-ivermektiini-ja-d-vitamiini-kayttoon-big-pharman-hyysays-saa-loppua/ https://rclutz.com/2021/09/05/japanese-medical-chairmen-doubles-down-on-ivm/ https://tfiglobalnews.com/2021/11/08/japan-crushes-big-pharma-with-a-small-yet-effective-move/</t>
  </si>
  <si>
    <t>Domains in Tweet by Count</t>
  </si>
  <si>
    <t>tfiglobalnews.com koronarealistit.com rclutz.com</t>
  </si>
  <si>
    <t>twitter.com iltalehti.fi yle.fi</t>
  </si>
  <si>
    <t>duodecimlehti.fi twitter.com</t>
  </si>
  <si>
    <t>twitter.com merck.com</t>
  </si>
  <si>
    <t>twitter.com yle.fi tfiglobalnews.com</t>
  </si>
  <si>
    <t>twitter.com tfiglobalnews.com</t>
  </si>
  <si>
    <t>twitter.com iltalehti.fi</t>
  </si>
  <si>
    <t>twitter.com thegatewaypundit.com</t>
  </si>
  <si>
    <t>Domains in Tweet by Salience</t>
  </si>
  <si>
    <t>koronarealistit.com rclutz.com tfiglobalnews.com</t>
  </si>
  <si>
    <t>iltalehti.fi yle.fi twitter.com</t>
  </si>
  <si>
    <t>Hashtags in Tweet by Count</t>
  </si>
  <si>
    <t>ivermektiini koronafi</t>
  </si>
  <si>
    <t>Hashtags in Tweet by Salience</t>
  </si>
  <si>
    <t>hydroxychloroquine ivermektiini</t>
  </si>
  <si>
    <t>Top Words in Tweet by Count</t>
  </si>
  <si>
    <t>investorimagin1 koomikkokivi samoilla linjoilla lisäksi piikille olisi turvallisempikin lääkitys tarjolla</t>
  </si>
  <si>
    <t>olisi investorimagin1 koomikkokivi on lääkitys jyrkikononen spihatto eipä ole vaan</t>
  </si>
  <si>
    <t>ei näyttää silta että #suomessa aiheutetaan ihan tahalleen #koronakriisi taas</t>
  </si>
  <si>
    <t>pysäytti koronan japanissa miksi ei suomessa sitten</t>
  </si>
  <si>
    <t>on koljonen_tuomas mielestäni ilman muuta pitää olla antiviraalit mukana pfizerin</t>
  </si>
  <si>
    <t>ei ole leanvaltio raitziger periaatteen toimiminen tae itse lääkkeen tehosta</t>
  </si>
  <si>
    <t>leanvaltio käteen ja kotiin parempi kuin burana vaikka parempiakin ilmeisesti</t>
  </si>
  <si>
    <t>ja on jos niin ihmiset tietoa itse sitten hyvä vaikka</t>
  </si>
  <si>
    <t>nymanveepee hpekk yleuutiset tiedätkö sä mitä on</t>
  </si>
  <si>
    <t>jälleen valeuutinen oikeasti ei ole mitään muuta varianttia kuin korona</t>
  </si>
  <si>
    <t>on lasleh jantunenkaarina iltasanomat turhaa näistä määristä valittaa todettuu tehokkaaksi</t>
  </si>
  <si>
    <t>hoi kannabisaktiivit oletteko ajatelleet lääkekannabis amp yllättävän paljon yhtäläisiä tekijöitä</t>
  </si>
  <si>
    <t>ei ja tautitapaukset lähti kun mikkokorhonen12 niin intiassa kuolemat laskuun</t>
  </si>
  <si>
    <t>sarasvuojari esahakarauta mikaihamuotila elohenri sanon jonkun tosi huonomaineisen sanan</t>
  </si>
  <si>
    <t>ja ovat tämäkin suomalainen lääke ollut tiedossa jo toukokuussa mutta</t>
  </si>
  <si>
    <t>porukkaa darguner1 sarasvuojari esahakarauta mikaihamuotila elohenri sen testit lopetettiin kun</t>
  </si>
  <si>
    <t>kuole ja denialisti on mattimuukkonen tällainen oli koronataudin saaneen ihmisen</t>
  </si>
  <si>
    <t>körönäkööri estää suomessa ivm tabletti hoidolla saa todistetusti tuloksia lähes</t>
  </si>
  <si>
    <t>ja lähes tuohon marianordin kukin voi vapaasti avartaa päivittää tietämystään</t>
  </si>
  <si>
    <t>koronaan ja tehdäänkö myös rokotetuista kuolleista samanlaisia tarinoita uutisia kuin</t>
  </si>
  <si>
    <t>on ja suomessa kuin pitäisi rokotukset myös koronaan ovat xxxeerh</t>
  </si>
  <si>
    <t>ei on eli sariheinonen5 en usko virus voi olla yhtä</t>
  </si>
  <si>
    <t>ja on jo matti_reinikka mikaihamuotila juu niin taisivat japanissa osassa</t>
  </si>
  <si>
    <t>rvalimaki hannu42 rippperjohnson finreccu samuligloersen apekanerva ja niin eikö pfizerin</t>
  </si>
  <si>
    <t>ei samuligloersen on rippperjohnson johnpulm hannu42 finreccu apekanerva ivermektiinin lääke</t>
  </si>
  <si>
    <t>mitä japani on tehnyt sellaista jota suomessa ei ole tehty</t>
  </si>
  <si>
    <t>5g tä pbyrokraatti vastasin koska turvavyöstä en ole saanut mikrosirua</t>
  </si>
  <si>
    <t>pbyrokraatti viimeinen käytännön pila kollegoille kun tulevat kolaripaikalle ja mulla</t>
  </si>
  <si>
    <t>samiantinniemi häneltä sain vihiä tepsivästä longcovid hoidostakin sinusta saattaa tulla</t>
  </si>
  <si>
    <t>miksi pbyrokraatti turvavyö on jo kiinni joten ainoa vaihtoehto taitaa</t>
  </si>
  <si>
    <t>että rokoteuskovaiset tmhirvi shhsami okuokka tohtoriopiskelija väittää ei toimi juuri</t>
  </si>
  <si>
    <t>on korpinenlaura ihmisten ole loisia laumansuojaaja takapirulainen anekdootin mukaan vaikuttanut</t>
  </si>
  <si>
    <t>sebastianmaki lasleh ja hcq käyttöön rokotteen sijaan niin ei tuli</t>
  </si>
  <si>
    <t>on ei molkanenoskari korpinenlaura mikaihamuotila kyllähän niitä paljon lääkkeitä kuten</t>
  </si>
  <si>
    <t>ja ovat uudessa lääkkeessä käytettävät vaikuttavat aineet aprotiniini hydroksiklorokiini tunnettuja</t>
  </si>
  <si>
    <t>pbyrokraatti käy kaikkeen koska on voittanut nobel palkinnon käytän närästykseen</t>
  </si>
  <si>
    <t>eevapirila makrikali kimmorautanen arquez13 mikä arfikassa ja intiassa käsittääkseni menee</t>
  </si>
  <si>
    <t>ole ei olisi ollut ja osoittautunut on joka janimakelafi myös</t>
  </si>
  <si>
    <t>hannasokajarvi hoopoilua lindenaki hengityskoneen tilalle aspiriini nimittäin se poistaa pienet</t>
  </si>
  <si>
    <t>covid 19 hoidossa tuomejoo anttipirttimaki väärin loislääke jota käytetään pääasiassa</t>
  </si>
  <si>
    <t>japanissa ei viren_matti tehoaa miksi suomessa edes kokeilla ivermektiinin tehoa</t>
  </si>
  <si>
    <t>kaikki sarasvuojari tulisipa markkinoille jo pfizerin paxlovid suunkautta otettava rokote</t>
  </si>
  <si>
    <t>teuraskarju zin_zah ei tarvi niillä on käytössä alunperin muista syistä</t>
  </si>
  <si>
    <t>ihmisille tapio_suominen määrätään tuhansia sai kyllä ei vaan meille tavallisille</t>
  </si>
  <si>
    <t>ei jo on hannasokajarvi hoopoilua lindenaki 3 toimi rokotteet ja</t>
  </si>
  <si>
    <t>toimii ehdottoman varmasti koronaa vastaan vai oletteko nähneet yhtään poroa</t>
  </si>
  <si>
    <t>siitä ei on ivermektiinistä vielä haittaakaan ole oikein toimi lääkeaineiden</t>
  </si>
  <si>
    <t>on ei ja oikeasti se kuin koljonen_tuomas siihen mihin lääke</t>
  </si>
  <si>
    <t>ja on ne ei että jo d vitamiini meillä pandemian</t>
  </si>
  <si>
    <t>ja nasimarazmyar julkaiskaa tarkka listaus sairaalahoitoon joutuneiden koronapotilaiden ikäjakaumasta painoindeksistä</t>
  </si>
  <si>
    <t>on ei suviturtiainen ja vielä ole ovat miksi pilkkaat ivermektiiniä</t>
  </si>
  <si>
    <t>tommi_kinnunen mvirtanen muhisazizi ja on vaikuttavina aineina mm hydroklorokiini osa</t>
  </si>
  <si>
    <t>on ja käytössä mm paxlovid molnupiravir ovat emppuvuori kyllä niitä</t>
  </si>
  <si>
    <t>ja kuten er_korhola ns virallinen käsitys on että nykyiset koronarokotteet</t>
  </si>
  <si>
    <t>ja ovat uudessa lääkkeessä käytettävät vaikuttavat aineet aprotiniini hydroksiklorokiini #ivermektiini</t>
  </si>
  <si>
    <t>ja käyttöön d suomessakin muualla hyviksi todetut lääkkeet c vitamiinin</t>
  </si>
  <si>
    <t>ja on janimakelafi huono pelastaja koska se edullinen ei lihota</t>
  </si>
  <si>
    <t>on ja janimakelafi huono pelastaja koska ei rokote virus se</t>
  </si>
  <si>
    <t>tommi_kinnunen muhisazizi sivusto joka osoittaa 61 tutkimusta joihin osallistui 23</t>
  </si>
  <si>
    <t>laski77 tommi_kinnunen muhisazizi kannattaa lukea kokonaan mikäli kiinnostaa</t>
  </si>
  <si>
    <t>tommi_kinnunen muhisazizi on hituvati lääkeaine lauri_paavola makrosyklinen laktoneihin kuuluva sitä</t>
  </si>
  <si>
    <t>ja ovat korpinenlaura uudessa lääkkeessä käytettävät vaikuttavat aineet aprotiniini hydroksiklorokiini</t>
  </si>
  <si>
    <t>ja ovat on ei korpinenlaura sitä uudessa lääkkeessä käytettävät vaikuttavat</t>
  </si>
  <si>
    <t>ei leanvaltio satuhassi jarnovirtanen2 anni_lahti_ koronapassi poistuu kun ihmiset rokottautuu</t>
  </si>
  <si>
    <t>joutuu vaan ei tommi_kinnunen muhisazizi lol rokotukset eivät siis estä</t>
  </si>
  <si>
    <t>ja ovat on uudessa lääkkeessä käytettävät vaikuttavat aineet aprotiniini hydroksiklorokiini</t>
  </si>
  <si>
    <t>leanvaltio mattimuukkonen on laillista ja hyvä lääke loisiin</t>
  </si>
  <si>
    <t>ja ovat korpinenlaura siinähän on sitä hevosten matolääkettä jonka käyttöä</t>
  </si>
  <si>
    <t>mika_salminen hnohynek koronakuiskaaja mmaitoparta mitä japani on tehnyt sellaista jota</t>
  </si>
  <si>
    <t>ei monet ns salaliittoteoreetikot ovat selvästi perehtyneet aiheisiin huomattavasti paljon</t>
  </si>
  <si>
    <t>on thlorg lasleh ja ei mites hsfi suomessa koronaa mitä</t>
  </si>
  <si>
    <t>montomik penjussi lauri_paavola tommi_kinnunen jonnasep muhisazizi toimii aivan helvetin hyvin</t>
  </si>
  <si>
    <t>on tommi_kinnunen muhisazizi monet aineet kuten tutut särkylääkkeet toimivat useammilla</t>
  </si>
  <si>
    <t>arttuhamalainen taitaa valitettavasti vaan toimia</t>
  </si>
  <si>
    <t>ei sen mvirtanen tommi_kinnunen muhisazizi toimi millään tasolla sars cov</t>
  </si>
  <si>
    <t>leenakeinnen1 turtiainenano kansallinen d vitamiiniohjelma heti alkuoireisiin massiivinen oireettomien testailun</t>
  </si>
  <si>
    <t>mvirtanen tommi_kinnunen muhisazizi bigfarma ei halua sijoittaa orpolääkkeiden tutkimukseen halvat</t>
  </si>
  <si>
    <t>ja ovat ostaisin käyttäisin uudessa lääkkeessä käytettävät vaikuttavat aineet aprotiniini</t>
  </si>
  <si>
    <t>on tommi_kinnunen muhisazizi korrelaatio ei ole tae kausaliteetista mutta neljässä</t>
  </si>
  <si>
    <t>en kun teslailija hevosten matolääke eli moni uskoo lähes ihmeenomaiseen</t>
  </si>
  <si>
    <t>pbockerman lotta_hallstrom mkorja pierrekory tämä pfizerin uusi tänään julkaistu pilleri</t>
  </si>
  <si>
    <t>ei tommi_kinnunen jounipeltoniemi muhisazizi on erinomainen loislääke siksi jokaisen rokotekriittisen</t>
  </si>
  <si>
    <t>on kiili tommi_kinnunen muhisazizi kehitetty loisten aihauttamiin tulehdussairauksien hoitoon en</t>
  </si>
  <si>
    <t>monet ns salaliittoteoreetikot ovat selvästi perehtyneet aiheisiin huomattavasti paljon paremmin</t>
  </si>
  <si>
    <t>vain se jyrkikononen epärehelliset vellihousut perääntyy kysyn kysymyksiä pelleilyn taakse</t>
  </si>
  <si>
    <t>sekoomus jyrkikononen no minun on ihmisille tarkoitettu ja ei ole</t>
  </si>
  <si>
    <t>on ihmisille xarzi19 tommi_kinnunen nakkeman mvirtanen muhisazizi mun mutuaaleissa eläinlääkäri</t>
  </si>
  <si>
    <t>ei ja japanissa intiassa ole sitä miksi jutasa54 miten mielestäsi</t>
  </si>
  <si>
    <t>on tommi_kinnunen muhisazizi jos pointtia lääketieteen ammattilaisten neuvomatta jättämisestä haluaa</t>
  </si>
  <si>
    <t>ja tommi_kinnunen muhisazizi kuin on mut hei lasse juhani suosittelee</t>
  </si>
  <si>
    <t>#ivermektiini ei markussovala maaninkavaara miten joukko oppi selittää tämän ilmiön</t>
  </si>
  <si>
    <t>ei tommi_kinnunen kreetalainen muhisazizi tämä on se pointti tässä aivan</t>
  </si>
  <si>
    <t>mvirtanen tommi_kinnunen muhisazizi virtanen on loislääke eikä mikään järjissään oleva</t>
  </si>
  <si>
    <t>ei maria33385 ja hydroklorokiinilla myös toki se maksa juuri mitään</t>
  </si>
  <si>
    <t>ei ja pmeemit ihmemimmi tuomasenbuske minä kuuntelen sun perustelut ota</t>
  </si>
  <si>
    <t>koronaa enemmän thlorg mites injektiot tuntuvat ruokkivan mitä piikkejä sen</t>
  </si>
  <si>
    <t>er_korhola olet oikeassa myös siksi että japanissa on halpa havaittu</t>
  </si>
  <si>
    <t>meillä lasleh mikäli täällä annettaisi suositukset vitamiinien käytölle otettaisi käyttöön</t>
  </si>
  <si>
    <t>anrajala siniveikko sarasvuojari on ja liian halpa patentti rauennut joten</t>
  </si>
  <si>
    <t>käyttöön suomessa rokotukset voidaan lopettaa</t>
  </si>
  <si>
    <t>suomessa käyttöön rokotukset voidaan lopettaa mitä japani on tehnyt sellaista</t>
  </si>
  <si>
    <t>on ja suomessa ei mika_salminen hnohynek eikä käyttöön rokotukset voidaan</t>
  </si>
  <si>
    <t>jos ja mikaeljungner jotain täysin uutta lääketuotetta halutaan vuoden kokeilun</t>
  </si>
  <si>
    <t>ja ovat käyttöön suomessa rokotukset voidaan lopettaa uudessa lääkkeessä käytettävät</t>
  </si>
  <si>
    <t>ja hannu42 rokotukset seis turvavälit d3 joka iikalle välittömästi c</t>
  </si>
  <si>
    <t>ei varmaan leanvaltio lauri_linden ole hoitokeino koronaan joten siinä se</t>
  </si>
  <si>
    <t>ja suomessa käyttöön rokotukset voidaan lopettaa mitä japani on tehnyt</t>
  </si>
  <si>
    <t>kokeellinen jukkapetterila1 mikaeljungner experimental basis eli on ok mutta rokote</t>
  </si>
  <si>
    <t>on käyttöön suomessa rokotukset voidaan lopettaa tomiaalto3 kuulemma paras lääke</t>
  </si>
  <si>
    <t>leanvaltio mikaeljungner kyllä erinoimainen lääke syyhyyn</t>
  </si>
  <si>
    <t>anttigee ivanpuopolo aloitetaan vapauttamalla ruokakauppoihin</t>
  </si>
  <si>
    <t>uusisuomi toimii kaikkiin variaintteihin käyttöön suomessa rokotukset voidaan lopettaa</t>
  </si>
  <si>
    <t>juhaniknuuti tommi_kinnunen soalmila mvirtanen muhisazizi onhan tuo vahingossa lipsahtanut listoille</t>
  </si>
  <si>
    <t>piikkiä on piikki ja se panu_saarela turnukkaparta ailavilen kaarirossi iltasanomat</t>
  </si>
  <si>
    <t>ja on vapaasti puolimatkatapio koronapassin tartuntojen lisääntymiset korreloivat syykin selvä</t>
  </si>
  <si>
    <t>Top Words in Tweet by Salience</t>
  </si>
  <si>
    <t>sitten on jos ja niin ihmiset tietoa itse hyvä vaikka</t>
  </si>
  <si>
    <t>ja tautitapaukset lähti kun mikkokorhonen12 niin intiassa kuolemat laskuun he</t>
  </si>
  <si>
    <t>tuohon marianordin kukin voi vapaasti avartaa päivittää tietämystään maailmankuvaansa japani</t>
  </si>
  <si>
    <t>ja pitäisi koronaan ovat on suomessa kuin rokotukset myös xxxeerh</t>
  </si>
  <si>
    <t>niin eikö kun laitat sen uuteen pakettiin brändäät saman tuotteen</t>
  </si>
  <si>
    <t>on brändinimiä ovat jne trump liity asiaan yhtään mitenkään tehoa</t>
  </si>
  <si>
    <t>ihmisten laumansuojaaja takapirulainen anekdootin mukaan vaikuttanut toimivan koronan torjunnassa maissa</t>
  </si>
  <si>
    <t>ja ovat korpinenlaura on jonka #ivermektiini mitä veikkaat miksi siitä</t>
  </si>
  <si>
    <t>joka olisi ollut ja osoittautunut on janimakelafi myös 79tuuli lasleh</t>
  </si>
  <si>
    <t>viren_matti tehoaa miksi suomessa edes kokeilla ivermektiinin tehoa käsittämätön munaus</t>
  </si>
  <si>
    <t>sai kyllä ei vaan meille tavallisille yhdysvalloissa potilaita hoidettu ivermektiinillä</t>
  </si>
  <si>
    <t>jo 3 ja rokotettuja noh mm hannasokajarvi hoopoilua lindenaki toimi</t>
  </si>
  <si>
    <t>ei tehokkaasti niihin 100 niin siitä se ja oikeasti kuin</t>
  </si>
  <si>
    <t>on lääkkeet että jo tomiaalto3 ole käytössä tragikoomista ollut käytettävissä</t>
  </si>
  <si>
    <t>ovat suviturtiainen ja vielä ole miksi pilkkaat ivermektiiniä oletko uskonut</t>
  </si>
  <si>
    <t>vaikuttavina aineina mm hydroklorokiini osa suomalaista patentin saanutta koronalääkettä suviturtiainen</t>
  </si>
  <si>
    <t>mm ovat ja emppuvuori kyllä niitä intiassa japanissa ollut uusia</t>
  </si>
  <si>
    <t>kuten er_korhola ns virallinen käsitys on että nykyiset koronarokotteet ovat</t>
  </si>
  <si>
    <t>tiinakeskimki ottakaa ihmeessä hakalaolli huuhtanenpanu kromantikko huhtasaarisaara laurahuhtasaari turtiainenano ikenovikoff</t>
  </si>
  <si>
    <t>ja rokote virus se edullinen lihota lääkefirmojen kassaa eikä siitä</t>
  </si>
  <si>
    <t>lääkeaine on hituvati lauri_paavola makrosyklinen laktoneihin kuuluva sitä käytetään niin</t>
  </si>
  <si>
    <t>ovat tmhirvi no esimerkiksi maat joissa otettiin käyttöön sillä saatiin</t>
  </si>
  <si>
    <t>ja ovat korpinenlaura sitä uudessa lääkkeessä käytettävät vaikuttavat aineet aprotiniini</t>
  </si>
  <si>
    <t>koronaan ovat korpinenlaura siinähän sitä hevosten matolääkettä jonka käyttöä ylen</t>
  </si>
  <si>
    <t>koronakuiskaaja mmaitoparta mitä japani on tehnyt sellaista jota suomessa ei</t>
  </si>
  <si>
    <t>on ja koronaa enemmän rokote virus thlorg lasleh ei mites</t>
  </si>
  <si>
    <t>japanissa intiassa ole miksi jutasa54 miten mielestäsi toimitaan vastaus sitten</t>
  </si>
  <si>
    <t>on mut hei lasse juhani suosittelee myös d vitamiinia koronan</t>
  </si>
  <si>
    <t>markussovala maaninkavaara miten joukko oppi selittää tämän ilmiön mun nähdäkseni</t>
  </si>
  <si>
    <t>liian halpa patentti rauennut joten sitä ei lääketeollisuus suosittele saanut</t>
  </si>
  <si>
    <t>käyttöön rokotukset voidaan lopettaa mitä japani on tehnyt sellaista jota</t>
  </si>
  <si>
    <t>ja suomessa ei mika_salminen hnohynek eikä käyttöön rokotukset voidaan lopettaa</t>
  </si>
  <si>
    <t>välittömästi c vitamiinia tautiin tehoaa jos ei mene itekseen ohi</t>
  </si>
  <si>
    <t>ja käyttöön rokotukset voidaan lopettaa mitä japani on tehnyt sellaista</t>
  </si>
  <si>
    <t>piikkiä se panu_saarela turnukkaparta ailavilen kaarirossi iltasanomat veikkaan että paaaljon</t>
  </si>
  <si>
    <t>Top Word Pairs in Tweet by Count</t>
  </si>
  <si>
    <t>investorimagin1,koomikkokivi  koomikkokivi,samoilla  samoilla,linjoilla  linjoilla,lisäksi  lisäksi,piikille  piikille,olisi  olisi,turvallisempikin  turvallisempikin,lääkitys  lääkitys,tarjolla  tarjolla,mutta</t>
  </si>
  <si>
    <t>investorimagin1,koomikkokivi  jyrkikononen,spihatto  spihatto,eipä  eipä,ole  ole,vaan  vaan,ivermektiini  beetas,investorimagin1  koomikkokivi,höpönasssu  höpönasssu,ivermektiini  ivermektiini,on</t>
  </si>
  <si>
    <t>näyttää,silta  silta,että  että,#suomessa  #suomessa,aiheutetaan  aiheutetaan,ihan  ihan,tahalleen  tahalleen,#koronakriisi  #koronakriisi,taas  taas,jälleen  jälleen,kerran</t>
  </si>
  <si>
    <t>ivermektiini,pysäytti  pysäytti,koronan  koronan,japanissa  japanissa,miksi  miksi,ei  ei,suomessa  suomessa,sitten</t>
  </si>
  <si>
    <t>koljonen_tuomas,mielestäni  mielestäni,ilman  ilman,muuta  muuta,pitää  pitää,olla  olla,antiviraalit  antiviraalit,mukana  mukana,pfizerin  pfizerin,uusi  uusi,vaan</t>
  </si>
  <si>
    <t>ei,ole  leanvaltio,raitziger  raitziger,periaatteen  periaatteen,toimiminen  toimiminen,ei  ole,tae  tae,itse  itse,lääkkeen  lääkkeen,tehosta  tehosta,jos</t>
  </si>
  <si>
    <t>leanvaltio,ivermektiini  ivermektiini,käteen  käteen,ja  ja,kotiin  kotiin,parempi  parempi,kuin  kuin,burana  burana,vaikka  vaikka,parempiakin  parempiakin,ilmeisesti</t>
  </si>
  <si>
    <t>sitten,on  valita,itse  nasimarazmyar,julkaiskaa  julkaiskaa,tarkka  tarkka,listaus  listaus,sairaalahoitoon  sairaalahoitoon,joutuneiden  joutuneiden,koronapotilaiden  koronapotilaiden,ikäjakaumasta  ikäjakaumasta,painoindeksistä</t>
  </si>
  <si>
    <t>nymanveepee,hpekk  hpekk,yleuutiset  yleuutiset,tiedätkö  tiedätkö,sä  sä,mitä  mitä,ivermektiini  ivermektiini,on</t>
  </si>
  <si>
    <t>jälleen,valeuutinen  valeuutinen,oikeasti  oikeasti,ei  ei,ole  ole,mitään  mitään,muuta  muuta,varianttia  varianttia,kuin  kuin,korona  korona,piikillä</t>
  </si>
  <si>
    <t>lasleh,jantunenkaarina  jantunenkaarina,iltasanomat  iltasanomat,turhaa  turhaa,näistä  näistä,määristä  määristä,valittaa  valittaa,ivermektiini  ivermektiini,on  on,todettuu  todettuu,tehokkaaksi</t>
  </si>
  <si>
    <t>hoi,kannabisaktiivit  kannabisaktiivit,oletteko  oletteko,ajatelleet  ajatelleet,lääkekannabis  lääkekannabis,amp  amp,ivermektiini  ivermektiini,yllättävän  yllättävän,paljon  paljon,yhtäläisiä  yhtäläisiä,tekijöitä</t>
  </si>
  <si>
    <t>mikkokorhonen12,ei  ei,niin  niin,intiassa  intiassa,kuolemat  kuolemat,ja  ja,tautitapaukset  tautitapaukset,lähti  lähti,laskuun  laskuun,kun  kun,he</t>
  </si>
  <si>
    <t>sarasvuojari,esahakarauta  esahakarauta,mikaihamuotila  mikaihamuotila,elohenri  elohenri,sanon  sanon,jonkun  jonkun,tosi  tosi,huonomaineisen  huonomaineisen,sanan  sanan,ivermektiini</t>
  </si>
  <si>
    <t>tämäkin,suomalainen  suomalainen,lääke  lääke,ollut  ollut,tiedossa  tiedossa,jo  jo,toukokuussa  toukokuussa,mutta  mutta,ei  ei,kiinnosta  kiinnosta,päättäjiä</t>
  </si>
  <si>
    <t>darguner1,sarasvuojari  sarasvuojari,esahakarauta  esahakarauta,mikaihamuotila  mikaihamuotila,elohenri  elohenri,sen  sen,testit  testit,lopetettiin  lopetettiin,kun  kun,placebo  placebo,porukkaa</t>
  </si>
  <si>
    <t>kuole,kuole  mattimuukkonen,tällainen  tällainen,oli  oli,koronataudin  koronataudin,saaneen  saaneen,ihmisen  ihmisen,hämmentynyt  hämmentynyt,reaktio  reaktio,kun  kun,hän</t>
  </si>
  <si>
    <t>körönäkööri,estää  estää,suomessa  suomessa,ivm  ivm,ivermektiini  ivermektiini,tabletti  tabletti,hoidolla  hoidolla,saa  saa,todistetusti  todistetusti,tuloksia  tuloksia,lähes</t>
  </si>
  <si>
    <t>tuohon,marianordin  marianordin,kukin  kukin,voi  voi,vapaasti  vapaasti,avartaa  avartaa,ja  ja,päivittää  päivittää,tietämystään  tietämystään,maailmankuvaansa  maailmankuvaansa,japani</t>
  </si>
  <si>
    <t>tehdäänkö,myös  myös,rokotetuista  rokotetuista,koronaan  koronaan,kuolleista  kuolleista,samanlaisia  samanlaisia,tarinoita  tarinoita,ja  ja,uutisia  uutisia,kuin  kuin,tapauksesta</t>
  </si>
  <si>
    <t>ivermektiini,on  xxxeerh,a28748626  a28748626,minnaeck  minnaeck,suomessa  suomessa,reseptillä  reseptillä,myytävä  myytävä,ivermektiini  on,huomattavasti  huomattavasti,kalliimpaa  kalliimpaa,kuin</t>
  </si>
  <si>
    <t>sariheinonen5,en  en,usko  usko,virus  virus,ei  ei,voi  voi,olla  olla,yhtä  yhtä,aikaa  aikaa,sekä  sekä,tappava</t>
  </si>
  <si>
    <t>matti_reinikka,mikaihamuotila  mikaihamuotila,juu  juu,niin  niin,on  on,taisivat  taisivat,jo  jo,japanissa  japanissa,ja  ja,osassa  osassa,intiaa</t>
  </si>
  <si>
    <t>hannu42,rippperjohnson  rippperjohnson,finreccu  finreccu,samuligloersen  rvalimaki,hannu42  samuligloersen,apekanerva  apekanerva,ja  ja,kun  kun,laitat  laitat,sen  sen,uuteen</t>
  </si>
  <si>
    <t>johnpulm,hannu42  brändinimiä,ovat  rippperjohnson,samuligloersen  samuligloersen,johnpulm  hannu42,finreccu  finreccu,apekanerva  apekanerva,trump  trump,ei  ei,liity  liity,asiaan</t>
  </si>
  <si>
    <t>mitä,japani  japani,on  on,tehnyt  tehnyt,sellaista  sellaista,jota  jota,suomessa  suomessa,ei  ei,ole  ole,tehty  tehty,#ivermektiini</t>
  </si>
  <si>
    <t>5g,tä  pbyrokraatti,vastasin  vastasin,ivermektiini  ivermektiini,koska  koska,turvavyöstä  turvavyöstä,en  en,ole  ole,saanut  saanut,mikrosirua  mikrosirua,5g</t>
  </si>
  <si>
    <t>pbyrokraatti,viimeinen  viimeinen,käytännön  käytännön,pila  pila,kollegoille  kollegoille,kun  kun,tulevat  tulevat,kolaripaikalle  kolaripaikalle,ja  ja,mulla  mulla,on</t>
  </si>
  <si>
    <t>samiantinniemi,häneltä  häneltä,sain  sain,vihiä  vihiä,tepsivästä  tepsivästä,longcovid  longcovid,hoidostakin  hoidostakin,sinusta  sinusta,saattaa  saattaa,tulla  tulla,suomen</t>
  </si>
  <si>
    <t>pbyrokraatti,turvavyö  turvavyö,on  on,jo  jo,kiinni  kiinni,joten  joten,ainoa  ainoa,vaihtoehto  vaihtoehto,taitaa  taitaa,olla  olla,ivermektiini</t>
  </si>
  <si>
    <t>että,ivermektiini  tmhirvi,shhsami  shhsami,okuokka  okuokka,tohtoriopiskelija  tohtoriopiskelija,väittää  väittää,että  ivermektiini,ei  ei,toimi  toimi,rokoteuskovaiset  rokoteuskovaiset,juuri</t>
  </si>
  <si>
    <t>ivermektiini,on  laumansuojaaja,korpinenlaura  korpinenlaura,takapirulainen  takapirulainen,anekdootin  anekdootin,mukaan  mukaan,ivermektiini  on,vaikuttanut  vaikuttanut,toimivan  toimivan,koronan  koronan,torjunnassa</t>
  </si>
  <si>
    <t>sebastianmaki,lasleh  lasleh,ivermektiini  ivermektiini,ja  ja,hcq  hcq,käyttöön  käyttöön,rokotteen  rokotteen,sijaan  sijaan,niin  niin,ei  ei,tuli</t>
  </si>
  <si>
    <t>molkanenoskari,korpinenlaura  korpinenlaura,mikaihamuotila  mikaihamuotila,kyllähän  kyllähän,niitä  niitä,on  on,paljon  paljon,lääkkeitä  lääkkeitä,kuten  kuten,ivermektiini  ivermektiini,joilla</t>
  </si>
  <si>
    <t>uudessa,lääkkeessä  lääkkeessä,käytettävät  käytettävät,vaikuttavat  vaikuttavat,aineet  aineet,aprotiniini  aprotiniini,hydroksiklorokiini  hydroksiklorokiini,ja  ovat,tunnettuja  tunnettuja,ja  ja,ne</t>
  </si>
  <si>
    <t>pbyrokraatti,ivermektiini  ivermektiini,käy  käy,kaikkeen  kaikkeen,koska  koska,on  on,voittanut  voittanut,nobel  nobel,palkinnon  palkinnon,käytän  käytän,närästykseen</t>
  </si>
  <si>
    <t>eevapirila,makrikali  makrikali,kimmorautanen  kimmorautanen,arquez13  arquez13,mikä  mikä,arfikassa  arfikassa,ja  ja,intiassa  intiassa,käsittääkseni  käsittääkseni,menee  menee,ihan</t>
  </si>
  <si>
    <t>ei,ole  79tuuli,lasleh  lasleh,hsfi  hsfi,edelleenkään  edelleenkään,ei  ole,todistettu  todistettu,ettei  ettei,vaikeamman  vaikeamman,tautimuodon  tautimuodon,estäminen</t>
  </si>
  <si>
    <t>hannasokajarvi,hoopoilua  hoopoilua,lindenaki  lindenaki,ivermektiini  ivermektiini,hengityskoneen  hengityskoneen,tilalle  tilalle,aspiriini  aspiriini,nimittäin  nimittäin,se  se,poistaa  poistaa,pienet</t>
  </si>
  <si>
    <t>covid,19  19,hoidossa  tuomejoo,anttipirttimaki  anttipirttimaki,väärin  väärin,ivermektiini  ivermektiini,loislääke  loislääke,jota  jota,käytetään  käytetään,pääasiassa  pääasiassa,karjan</t>
  </si>
  <si>
    <t>viren_matti,ivermektiini  ivermektiini,tehoaa  tehoaa,japanissa  japanissa,miksi  miksi,suomessa  suomessa,ei  ei,edes  edes,kokeilla  kokeilla,ivermektiinin  ivermektiinin,tehoa</t>
  </si>
  <si>
    <t>sarasvuojari,tulisipa  tulisipa,markkinoille  markkinoille,jo  jo,pfizerin  pfizerin,paxlovid  paxlovid,suunkautta  suunkautta,otettava  otettava,rokote  rokote,ivermektiini  ivermektiini,kopio</t>
  </si>
  <si>
    <t>teuraskarju,zin_zah  zin_zah,ei  ei,tarvi  tarvi,niillä  niillä,on  on,ivermektiini  ivermektiini,käytössä  käytössä,alunperin  alunperin,muista  muista,syistä</t>
  </si>
  <si>
    <t>tapio_suominen,kyllä  kyllä,määrätään  määrätään,ei  ei,vaan  vaan,meille  meille,tavallisille  tavallisille,ihmisille  ihmisille,yhdysvalloissa  yhdysvalloissa,tuhansia  tuhansia,potilaita</t>
  </si>
  <si>
    <t>hannasokajarvi,hoopoilua  hoopoilua,totuusseerumi  totuusseerumi,lindenaki  lindenaki,ivermektiini  ivermektiini,todistetusti  todistetusti,toimii  toimii,koronan  koronan,hoidossa  hoidossa,sanoo  sanoo,tutkimusnäyttö</t>
  </si>
  <si>
    <t>ivermektiini,toimii  toimii,ehdottoman  ehdottoman,varmasti  varmasti,koronaa  koronaa,vastaan  vastaan,vai  vai,oletteko  oletteko,nähneet  nähneet,yhtään  yhtään,poroa</t>
  </si>
  <si>
    <t>siitä,ivermektiinistä  ivermektiinistä,vielä  vielä,ei  ei,siitä  siitä,haittaakaan  haittaakaan,ole  ole,ei  ei,oikein  oikein,toimi  toimi,lääkeaineiden</t>
  </si>
  <si>
    <t>siihen,mihin  ivermektiini,on  se,on  koljonen_tuomas,sujofin  sujofin,jep  jep,tässäkin  tässäkin,tullaan  tullaan,siihen  mihin,mikäkin  mikäkin,lääke</t>
  </si>
  <si>
    <t>d,vitamiini  jo,pandemian  vitamiini,ja  tomiaalto3,ei  ei,ole  ole,käytössä  käytössä,tragikoomista  tragikoomista,on  on,että  että,meillä</t>
  </si>
  <si>
    <t>nasimarazmyar,julkaiskaa  julkaiskaa,tarkka  tarkka,listaus  listaus,sairaalahoitoon  sairaalahoitoon,joutuneiden  joutuneiden,koronapotilaiden  koronapotilaiden,ikäjakaumasta  ikäjakaumasta,painoindeksistä  painoindeksistä,muiden  muiden,sairauksien</t>
  </si>
  <si>
    <t>ivermektiini,on  ei,ole  suviturtiainen,miksi  miksi,pilkkaat  pilkkaat,ivermektiiniä  ivermektiiniä,oletko  oletko,uskonut  uskonut,pelkkää  pelkkää,propagandaa  propagandaa,tutustumatta</t>
  </si>
  <si>
    <t>tommi_kinnunen,mvirtanen  mvirtanen,muhisazizi  ivermektiini,on  muhisazizi,vaikuttavina  vaikuttavina,aineina  aineina,mm  mm,ivermektiini  ivermektiini,ja  ja,hydroklorokiini  muhisazizi,ivermektiini</t>
  </si>
  <si>
    <t>emppuvuori,kyllä  kyllä,niitä  niitä,on  on,intiassa  intiassa,ja  ja,japanissa  japanissa,on  on,ollut  ollut,käytössä  käytössä,ivermektiini</t>
  </si>
  <si>
    <t>er_korhola,ns  ns,virallinen  virallinen,käsitys  käsitys,on  on,että  että,nykyiset  nykyiset,koronarokotteet  koronarokotteet,ovat  ovat,ainoa  ainoa,tie</t>
  </si>
  <si>
    <t>uudessa,lääkkeessä  lääkkeessä,käytettävät  käytettävät,vaikuttavat  vaikuttavat,aineet  aineet,aprotiniini  aprotiniini,hydroksiklorokiini  hydroksiklorokiini,ja  ja,#ivermektiini  #ivermektiini,ovat  ovat,tunnettuja</t>
  </si>
  <si>
    <t>muualla,hyviksi  hyviksi,todetut  todetut,lääkkeet  lääkkeet,käyttöön  käyttöön,d  d,ja  ja,c  c,vitamiinin  vitamiinin,ja  ja,sinkin</t>
  </si>
  <si>
    <t>janimakelafi,ivermektiini  ivermektiini,on  on,huono  huono,pelastaja  pelastaja,koska  koska,se  se,on  on,edullinen  edullinen,ja  ja,ei</t>
  </si>
  <si>
    <t>huono,pelastaja  virus,on  janimakelafi,ivermektiini  ivermektiini,on  on,huono  pelastaja,koska  koska,se  se,on  on,edullinen  edullinen,ja</t>
  </si>
  <si>
    <t>tommi_kinnunen,muhisazizi  muhisazizi,sivusto  sivusto,joka  joka,osoittaa  osoittaa,61  61,tutkimusta  tutkimusta,joihin  joihin,osallistui  osallistui,23  23,000</t>
  </si>
  <si>
    <t>laski77,tommi_kinnunen  tommi_kinnunen,muhisazizi  muhisazizi,kannattaa  kannattaa,lukea  lukea,kokonaan  kokonaan,mikäli  mikäli,ivermektiini  ivermektiini,kiinnostaa</t>
  </si>
  <si>
    <t>tommi_kinnunen,muhisazizi  hituvati,tommi_kinnunen  ivermektiini,on  lauri_paavola,hituvati  muhisazizi,ivermektiini  ivermektiini,lääkeaine  lääkeaine,ivermektiini  on,makrosyklinen  makrosyklinen,laktoneihin  laktoneihin,kuuluva</t>
  </si>
  <si>
    <t>korpinenlaura,uudessa  uudessa,lääkkeessä  lääkkeessä,käytettävät  käytettävät,vaikuttavat  vaikuttavat,aineet  aineet,aprotiniini  aprotiniini,hydroksiklorokiini  hydroksiklorokiini,ja  ja,ivermektiini  ivermektiini,ovat</t>
  </si>
  <si>
    <t>uudessa,lääkkeessä  lääkkeessä,käytettävät  käytettävät,vaikuttavat  vaikuttavat,aineet  aineet,aprotiniini  aprotiniini,hydroksiklorokiini  hydroksiklorokiini,ja  ja,ivermektiini  ivermektiini,ovat  ovat,tunnettuja</t>
  </si>
  <si>
    <t>leanvaltio,satuhassi  satuhassi,jarnovirtanen2  jarnovirtanen2,anni_lahti_  anni_lahti_,koronapassi  koronapassi,poistuu  poistuu,kun  kun,ihmiset  ihmiset,rokottautuu  rokottautuu,yhtiöiden  yhtiöiden,ei</t>
  </si>
  <si>
    <t>tommi_kinnunen,muhisazizi  muhisazizi,lol  lol,rokotukset  rokotukset,eivät  eivät,siis  siis,estä  estä,vakavaa  vakavaa,tautimuotoa  tautimuotoa,koska  koska,rokotettujakin</t>
  </si>
  <si>
    <t>leanvaltio,mattimuukkonen  mattimuukkonen,ivermektiini  ivermektiini,on  on,laillista  laillista,ja  ja,hyvä  hyvä,lääke  lääke,loisiin</t>
  </si>
  <si>
    <t>korpinenlaura,siinähän  siinähän,on  on,sitä  sitä,hevosten  hevosten,matolääkettä  matolääkettä,jonka  jonka,käyttöä  käyttöä,ylen  ylen,kirjeenvaihtaja  kirjeenvaihtaja,päivitteli</t>
  </si>
  <si>
    <t>mika_salminen,hnohynek  koronakuiskaaja,mmaitoparta  mmaitoparta,mika_salminen  hnohynek,ivermektiini  mitä,japani  japani,on  on,tehnyt  tehnyt,sellaista  sellaista,jota  jota,suomessa</t>
  </si>
  <si>
    <t>monet,ns  ns,salaliittoteoreetikot  salaliittoteoreetikot,ovat  ovat,selvästi  selvästi,perehtyneet  perehtyneet,aiheisiin  aiheisiin,huomattavasti  huomattavasti,paljon  paljon,paremmin  paremmin,kuin</t>
  </si>
  <si>
    <t>mites,ivermektiini  lasleh,hsfi  hsfi,ivermektiini  huono,pelastaja  mika_salminen,hnohynek  virus,on  thlorg,salineero  salineero,mites  stm_uutiset,who  who,ivermektiini</t>
  </si>
  <si>
    <t>montomik,penjussi  penjussi,lauri_paavola  lauri_paavola,tommi_kinnunen  tommi_kinnunen,jonnasep  jonnasep,muhisazizi  muhisazizi,ivermektiini  ivermektiini,toimii  toimii,aivan  aivan,helvetin  helvetin,hyvin</t>
  </si>
  <si>
    <t>tommi_kinnunen,muhisazizi  muhisazizi,monet  monet,aineet  aineet,kuten  kuten,tutut  tutut,särkylääkkeet  särkylääkkeet,toimivat  toimivat,useammilla  useammilla,kuin  kuin,yhdellä</t>
  </si>
  <si>
    <t>arttuhamalainen,ivermektiini  ivermektiini,taitaa  taitaa,valitettavasti  valitettavasti,vaan  vaan,toimia</t>
  </si>
  <si>
    <t>mvirtanen,tommi_kinnunen  tommi_kinnunen,muhisazizi  muhisazizi,ivermektiini  ivermektiini,ei  ei,toimi  toimi,millään  millään,tasolla  tasolla,sars  sars,cov  cov,2</t>
  </si>
  <si>
    <t>leenakeinnen1,turtiainenano  turtiainenano,kansallinen  kansallinen,d  d,vitamiiniohjelma  vitamiiniohjelma,ivermektiini  ivermektiini,heti  heti,alkuoireisiin  alkuoireisiin,massiivinen  massiivinen,oireettomien  oireettomien,testailun</t>
  </si>
  <si>
    <t>mvirtanen,tommi_kinnunen  tommi_kinnunen,muhisazizi  muhisazizi,bigfarma  bigfarma,ei  ei,halua  halua,sijoittaa  sijoittaa,orpolääkkeiden  orpolääkkeiden,tutkimukseen  tutkimukseen,halvat  halvat,vanhat</t>
  </si>
  <si>
    <t>ostaisin,käyttäisin  käyttäisin,uudessa  uudessa,lääkkeessä  lääkkeessä,käytettävät  käytettävät,vaikuttavat  vaikuttavat,aineet  aineet,aprotiniini  aprotiniini,hydroksiklorokiini  hydroksiklorokiini,ja  ja,ivermektiini</t>
  </si>
  <si>
    <t>tommi_kinnunen,muhisazizi  muhisazizi,korrelaatio  korrelaatio,ei  ei,ole  ole,tae  tae,kausaliteetista  kausaliteetista,mutta  mutta,neljässä  neljässä,kuvan  kuvan,maista</t>
  </si>
  <si>
    <t>teslailija,hevosten  hevosten,matolääke  matolääke,eli  eli,ivermektiini  ivermektiini,moni  moni,uskoo  uskoo,lähes  lähes,ihmeenomaiseen  ihmeenomaiseen,tehoon  tehoon,mutta</t>
  </si>
  <si>
    <t>pbockerman,lotta_hallstrom  lotta_hallstrom,mkorja  mkorja,pierrekory  pierrekory,tämä  tämä,pfizerin  pfizerin,uusi  uusi,tänään  tänään,julkaistu  julkaistu,pilleri  pilleri,on</t>
  </si>
  <si>
    <t>ei,ei  tommi_kinnunen,jounipeltoniemi  jounipeltoniemi,muhisazizi  muhisazizi,ei  ei,ivermektiini  ivermektiini,on  on,erinomainen  erinomainen,loislääke  loislääke,siksi  siksi,jokaisen</t>
  </si>
  <si>
    <t>kiili,tommi_kinnunen  tommi_kinnunen,muhisazizi  muhisazizi,ivermektiini  ivermektiini,on  on,kehitetty  kehitetty,loisten  loisten,aihauttamiin  aihauttamiin,tulehdussairauksien  tulehdussairauksien,hoitoon  hoitoon,en</t>
  </si>
  <si>
    <t>jyrkikononen,vain  vain,epärehelliset  epärehelliset,vellihousut  vellihousut,perääntyy  perääntyy,kysyn  kysyn,vain  vain,kysymyksiä  kysymyksiä,pelleilyn  pelleilyn,taakse  taakse,ivermektiini</t>
  </si>
  <si>
    <t>sekoomus,jyrkikononen  jyrkikononen,no  no,minun  minun,ivermektiini  ivermektiini,on  on,ihmisille  ihmisille,tarkoitettu  tarkoitettu,ja  ja,ei  ei,ole</t>
  </si>
  <si>
    <t>xarzi19,tommi_kinnunen  tommi_kinnunen,nakkeman  nakkeman,mvirtanen  mvirtanen,muhisazizi  muhisazizi,mun  mun,mutuaaleissa  mutuaaleissa,on  on,eläinlääkäri  eläinlääkäri,joka  joka,on</t>
  </si>
  <si>
    <t>ja,intiassa  jutasa54,miten  miten,mielestäsi  mielestäsi,japanissa  japanissa,ja  intiassa,toimitaan  toimitaan,vastaus  vastaus,ei  ei,sitten  sitten,ole</t>
  </si>
  <si>
    <t>tommi_kinnunen,muhisazizi  muhisazizi,jos  jos,pointtia  pointtia,lääketieteen  lääketieteen,ammattilaisten  ammattilaisten,neuvomatta  neuvomatta,jättämisestä  jättämisestä,haluaa  haluaa,jotenkin  jotenkin,terästää</t>
  </si>
  <si>
    <t>tommi_kinnunen,muhisazizi  muhisazizi,mut  mut,hei  hei,lasse  lasse,ja  ja,juhani  juhani,suosittelee  suosittelee,myös  myös,d  d,vitamiinia</t>
  </si>
  <si>
    <t>markussovala,maaninkavaara  maaninkavaara,miten  miten,joukko  joukko,oppi  oppi,selittää  selittää,tämän  tämän,ilmiön  ilmiön,mun  mun,nähdäkseni  nähdäkseni,olisi</t>
  </si>
  <si>
    <t>tommi_kinnunen,kreetalainen  kreetalainen,muhisazizi  muhisazizi,tämä  tämä,on  on,se  se,pointti  pointti,tässä  tässä,aivan  aivan,sama  sama,toimiiko</t>
  </si>
  <si>
    <t>mvirtanen,tommi_kinnunen  tommi_kinnunen,muhisazizi  muhisazizi,virtanen  virtanen,ivermektiini  ivermektiini,on  on,loislääke  loislääke,eikä  eikä,mikään  mikään,järjissään  järjissään,oleva</t>
  </si>
  <si>
    <t>maria33385,ivermektiini  ivermektiini,ja  ja,hydroklorokiinilla  hydroklorokiinilla,myös  myös,toki  toki,se  se,ei  ei,maksa  maksa,juuri  juuri,mitään</t>
  </si>
  <si>
    <t>pmeemit,ihmemimmi  ihmemimmi,tuomasenbuske  tuomasenbuske,minä  minä,kuuntelen  kuuntelen,sun  sun,perustelut  perustelut,ota  ota,huomioon  huomioon,seuraavat  seuraavat,seikat</t>
  </si>
  <si>
    <t>thlorg,mites  mites,ivermektiini  ivermektiini,injektiot  injektiot,tuntuvat  tuntuvat,ruokkivan  ruokkivan,koronaa  koronaa,mitä  mitä,enemmän  enemmän,piikkejä  piikkejä,sen</t>
  </si>
  <si>
    <t>er_korhola,olet  olet,er_korhola  er_korhola,oikeassa  oikeassa,myös  myös,siksi  siksi,että  että,japanissa  japanissa,on  on,halpa  halpa,ivermektiini</t>
  </si>
  <si>
    <t>lasleh,mikäli  mikäli,täällä  täällä,annettaisi  annettaisi,suositukset  suositukset,vitamiinien  vitamiinien,käytölle  käytölle,otettaisi  otettaisi,ivermektiini  ivermektiini,käyttöön  käyttöön,sairastuneiden</t>
  </si>
  <si>
    <t>sarasvuojari,ivermektiini  ivermektiini,on  siniveikko,anrajala  anrajala,sarasvuojari  on,liian  liian,halpa  halpa,ja  ja,patentti  patentti,rauennut  rauennut,joten</t>
  </si>
  <si>
    <t>ivermektiini,käyttöön  käyttöön,suomessa  suomessa,rokotukset  rokotukset,voidaan  voidaan,lopettaa</t>
  </si>
  <si>
    <t>ivermektiini,käyttöön  käyttöön,suomessa  suomessa,rokotukset  rokotukset,voidaan  voidaan,lopettaa  mitä,japani  japani,on  on,tehnyt  tehnyt,sellaista  sellaista,jota</t>
  </si>
  <si>
    <t>mika_salminen,hnohynek  ivermektiini,käyttöön  käyttöön,suomessa  suomessa,rokotukset  rokotukset,voidaan  voidaan,lopettaa  mitä,japani  japani,on  on,tehnyt  tehnyt,sellaista</t>
  </si>
  <si>
    <t>mikaeljungner,jos  jos,jotain  jotain,täysin  täysin,uutta  uutta,lääketuotetta  lääketuotetta,halutaan  halutaan,vuoden  vuoden,kokeilun  kokeilun,jälkeen  jälkeen,asettaa</t>
  </si>
  <si>
    <t>ivermektiini,käyttöön  käyttöön,suomessa  suomessa,rokotukset  rokotukset,voidaan  voidaan,lopettaa  uudessa,lääkkeessä  lääkkeessä,käytettävät  käytettävät,vaikuttavat  vaikuttavat,aineet  aineet,aprotiniini</t>
  </si>
  <si>
    <t>rokotukset,seis  joka,iikalle  hannu42,rokotukset  seis,välittömästi  välittömästi,turvavälit  turvavälit,d3  d3,ja  ja,c  c,vitamiinia  vitamiinia,joka</t>
  </si>
  <si>
    <t>leanvaltio,lauri_linden  lauri_linden,ivermektiini  ivermektiini,ei  ei,ole  ole,hoitokeino  hoitokeino,koronaan  koronaan,joten  joten,siinä  siinä,varmaan  varmaan,se</t>
  </si>
  <si>
    <t>jukkapetterila1,mikaeljungner  mikaeljungner,experimental  experimental,basis  basis,eli  eli,kokeellinen  kokeellinen,ivermektiini  ivermektiini,on  on,ok  ok,mutta  mutta,kokeellinen</t>
  </si>
  <si>
    <t>ivermektiini,käyttöön  käyttöön,suomessa  suomessa,rokotukset  rokotukset,voidaan  voidaan,lopettaa  tomiaalto3,ivermektiini  ivermektiini,on  on,kuulemma  kuulemma,paras  paras,lääke</t>
  </si>
  <si>
    <t>leanvaltio,mikaeljungner  mikaeljungner,kyllä  kyllä,ivermektiini  ivermektiini,erinoimainen  erinoimainen,lääke  lääke,syyhyyn</t>
  </si>
  <si>
    <t>anttigee,ivanpuopolo  ivanpuopolo,aloitetaan  aloitetaan,vapauttamalla  vapauttamalla,ivermektiini  ivermektiini,ruokakauppoihin</t>
  </si>
  <si>
    <t>uusisuomi,ivermektiini  ivermektiini,toimii  toimii,kaikkiin  kaikkiin,variaintteihin  ivermektiini,käyttöön  käyttöön,suomessa  suomessa,rokotukset  rokotukset,voidaan  voidaan,lopettaa</t>
  </si>
  <si>
    <t>juhaniknuuti,tommi_kinnunen  tommi_kinnunen,soalmila  soalmila,mvirtanen  mvirtanen,muhisazizi  muhisazizi,onhan  onhan,tuo  tuo,ivermektiini  ivermektiini,vahingossa  vahingossa,lipsahtanut  lipsahtanut,listoille</t>
  </si>
  <si>
    <t>panu_saarela,turnukkaparta  turnukkaparta,ailavilen  ailavilen,kaarirossi  kaarirossi,iltasanomat  iltasanomat,veikkaan  veikkaan,että  että,paaaljon  paaaljon,parempi  parempi,viimevuonna  viimevuonna,ei</t>
  </si>
  <si>
    <t>puolimatkatapio,koronapassin  koronapassin,ja  ja,tartuntojen  tartuntojen,lisääntymiset  lisääntymiset,korreloivat  korreloivat,ja  ja,syykin  syykin,on  on,selvä  selvä,passilla</t>
  </si>
  <si>
    <t>Top Word Pairs in Tweet by Salience</t>
  </si>
  <si>
    <t>rvalimaki,hannu42  samuligloersen,apekanerva  apekanerva,ja  ja,kun  kun,laitat  laitat,sen  sen,uuteen  uuteen,pakettiin  pakettiin,niin  niin,brändäät</t>
  </si>
  <si>
    <t>brändinimiä,ovat  rippperjohnson,samuligloersen  samuligloersen,johnpulm  hannu42,finreccu  finreccu,apekanerva  apekanerva,trump  trump,ei  ei,liity  liity,asiaan  asiaan,yhtään</t>
  </si>
  <si>
    <t>laumansuojaaja,korpinenlaura  korpinenlaura,takapirulainen  takapirulainen,anekdootin  anekdootin,mukaan  mukaan,ivermektiini  on,vaikuttanut  vaikuttanut,toimivan  toimivan,koronan  koronan,torjunnassa  torjunnassa,maissa</t>
  </si>
  <si>
    <t>ja,ivermektiini  ivermektiini,ovat  korpinenlaura,uudessa  käytössä,mitä  mitä,veikkaat  veikkaat,miksi  miksi,siitä  siitä,ei  ei,hirveästi  hirveästi,puhuta</t>
  </si>
  <si>
    <t>se,on  siihen,mihin  ivermektiini,on  koljonen_tuomas,sujofin  sujofin,jep  jep,tässäkin  tässäkin,tullaan  tullaan,siihen  mihin,mikäkin  mikäkin,lääke</t>
  </si>
  <si>
    <t>tomiaalto3,ei  ei,ole  ole,käytössä  käytössä,tragikoomista  tragikoomista,on  on,että  että,meillä  meillä,on  on,ollut  ollut,ne</t>
  </si>
  <si>
    <t>muhisazizi,vaikuttavina  vaikuttavina,aineina  aineina,mm  mm,ivermektiini  ivermektiini,ja  ja,hydroklorokiini  muhisazizi,ivermektiini  on,osa  osa,suomalaista  suomalaista,patentin</t>
  </si>
  <si>
    <t>ottakaa,nyt  nyt,ihmeessä  ihmeessä,suomessakin  suomessakin,muualla  hakalaolli,huuhtanenpanu  huuhtanenpanu,tiinakeskimki  tiinakeskimki,kromantikko  kromantikko,huhtasaarisaara  huhtasaarisaara,laurahuhtasaari  laurahuhtasaari,turtiainenano</t>
  </si>
  <si>
    <t>virus,on  janimakelafi,ivermektiini  ivermektiini,on  on,huono  pelastaja,koska  koska,se  se,on  on,edullinen  edullinen,ja  ja,ei</t>
  </si>
  <si>
    <t>hituvati,tommi_kinnunen  ivermektiini,on  lauri_paavola,hituvati  muhisazizi,ivermektiini  ivermektiini,lääkeaine  lääkeaine,ivermektiini  on,makrosyklinen  makrosyklinen,laktoneihin  laktoneihin,kuuluva  kuuluva,lääkeaine</t>
  </si>
  <si>
    <t>tmhirvi,korpinenlaura  korpinenlaura,no  no,esimerkiksi  esimerkiksi,maat  maat,joissa  joissa,ivermektiini  ivermektiini,otettiin  otettiin,käyttöön  käyttöön,sillä  sillä,saatiin</t>
  </si>
  <si>
    <t>koronakuiskaaja,mmaitoparta  mmaitoparta,mika_salminen  hnohynek,ivermektiini  mitä,japani  japani,on  on,tehnyt  tehnyt,sellaista  sellaista,jota  jota,suomessa  suomessa,ei</t>
  </si>
  <si>
    <t>virus,on  mites,ivermektiini  lasleh,hsfi  hsfi,ivermektiini  huono,pelastaja  mika_salminen,hnohynek  thlorg,salineero  salineero,mites  stm_uutiset,who  who,ivermektiini</t>
  </si>
  <si>
    <t>muhisazizi,mut  mut,hei  hei,lasse  lasse,ja  ja,juhani  juhani,suosittelee  suosittelee,myös  myös,d  d,vitamiinia  vitamiinia,koronan</t>
  </si>
  <si>
    <t>siniveikko,anrajala  anrajala,sarasvuojari  on,liian  liian,halpa  halpa,ja  ja,patentti  patentti,rauennut  rauennut,joten  joten,sitä  sitä,ei</t>
  </si>
  <si>
    <t>hannu42,rokotukset  seis,välittömästi  välittömästi,turvavälit  turvavälit,d3  d3,ja  ja,c  c,vitamiinia  vitamiinia,joka  iikalle,ja  ja,tautiin</t>
  </si>
  <si>
    <t>192, 192, 192</t>
  </si>
  <si>
    <t>Red</t>
  </si>
  <si>
    <t>Green</t>
  </si>
  <si>
    <t>150, 53, 0</t>
  </si>
  <si>
    <t>203, 26, 0</t>
  </si>
  <si>
    <t>131, 62, 0</t>
  </si>
  <si>
    <t>46, 105, 0</t>
  </si>
  <si>
    <t>39, 108, 0</t>
  </si>
  <si>
    <t>118, 69, 0</t>
  </si>
  <si>
    <t>79, 89, 0</t>
  </si>
  <si>
    <t>105, 75, 0</t>
  </si>
  <si>
    <t>53, 102, 0</t>
  </si>
  <si>
    <t>85, 85, 0</t>
  </si>
  <si>
    <t>66, 95, 0</t>
  </si>
  <si>
    <t>99, 79, 0</t>
  </si>
  <si>
    <t>26, 115, 0</t>
  </si>
  <si>
    <t>7, 125, 0</t>
  </si>
  <si>
    <t>170, 43, 0</t>
  </si>
  <si>
    <t>33, 112, 0</t>
  </si>
  <si>
    <t>13, 121, 0</t>
  </si>
  <si>
    <t>72, 92, 0</t>
  </si>
  <si>
    <t>59, 98, 0</t>
  </si>
  <si>
    <t>20, 118, 0</t>
  </si>
  <si>
    <t>G1: ivermektiini ivermectin</t>
  </si>
  <si>
    <t>G2: ivermektiini koronafi takki hcq molnupiravir</t>
  </si>
  <si>
    <t>G3: ivermektiini hydroxychloroquine</t>
  </si>
  <si>
    <t>G5: koronafi ivermektiini</t>
  </si>
  <si>
    <t>G6: koronapässit</t>
  </si>
  <si>
    <t>G9: ivermektiini</t>
  </si>
  <si>
    <t>G28: suomessa koronakriisi ivermektiini rokonarokote</t>
  </si>
  <si>
    <t>Edge Weight▓1▓1▓0▓True▓Silver▓Red▓▓Edge Weight▓1▓1▓0▓1▓10▓True▓Edge Weight▓1▓1▓0▓32▓10▓False▓▓0▓0▓0▓True▓Black▓Black▓▓In-Degree▓1▓6▓0▓10▓1000▓True▓▓0▓0▓0▓0▓0▓False▓▓0▓0▓0▓0▓0▓False▓▓0▓0▓0▓0▓0▓False</t>
  </si>
  <si>
    <t>GraphSource░TwitterSearch▓GraphTerm░ivermektiini▓ImportDescription░The graph represents a network of 297 Twitter users whose recent tweets contained "ivermektiini", or who were replied to or mentioned in those tweets, taken from a data set limited to a maximum of 18,000 tweets.  The network was obtained from Twitter on Saturday, 04 December 2021 at 11:18 UTC.
The tweets in the network were tweeted over the 8-day, 17-hour, 14-minute period from Thursday, 25 November 2021 at 14:55 UTC to Saturday, 04 December 2021 at 08:09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"mentions".▓ImportSuggestedTitle░ivermektiini Twitter NodeXL SNA Map and Report for Saturday, 04 December 2021 at 11:17 UTC▓ImportSuggestedFileNameNoExtension░2021-12-04 11-17-34 NodeXL Twitter Search ivermektiini▓GroupingDescription░The graph's vertices were grouped by cluster using the Clauset-Newman-Moore cluster algorithm.▓LayoutAlgorithm░The graph was laid out using the Fruchterman-Reingold layout algorithm.▓GraphDirectedness░The graph is directed.</t>
  </si>
  <si>
    <t>TwitterSearch</t>
  </si>
  <si>
    <t>The graph represents a network of 297 Twitter users whose recent tweets contained "ivermektiini", or who were replied to or mentioned in those tweets, taken from a data set limited to a maximum of 18,000 tweets.  The network was obtained from Twitter on Saturday, 04 December 2021 at 11:18 UTC.
The tweets in the network were tweeted over the 8-day, 17-hour, 14-minute period from Thursday, 25 November 2021 at 14:55 UTC to Saturday, 04 December 2021 at 08:09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</si>
  <si>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</si>
  <si>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</si>
  <si>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https://nodexlgraphgallery.org/Pages/Graph.aspx?graphID=267501</t>
  </si>
  <si>
    <t>https://nodexlgraphgallery.org/Images/Image.ashx?graphID=267501&amp;type=f</t>
  </si>
  <si>
    <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</si>
</sst>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13257"/>
        <c:axId val="58774994"/>
      </c:barChart>
      <c:catAx>
        <c:axId val="43813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74994"/>
        <c:crosses val="autoZero"/>
        <c:auto val="1"/>
        <c:lblOffset val="100"/>
        <c:noMultiLvlLbl val="0"/>
      </c:catAx>
      <c:valAx>
        <c:axId val="5877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13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12899"/>
        <c:axId val="63154044"/>
      </c:barChart>
      <c:catAx>
        <c:axId val="592128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54044"/>
        <c:crosses val="autoZero"/>
        <c:auto val="1"/>
        <c:lblOffset val="100"/>
        <c:noMultiLvlLbl val="0"/>
      </c:catAx>
      <c:valAx>
        <c:axId val="6315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2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515485"/>
        <c:axId val="15203910"/>
      </c:barChart>
      <c:catAx>
        <c:axId val="31515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03910"/>
        <c:crosses val="autoZero"/>
        <c:auto val="1"/>
        <c:lblOffset val="100"/>
        <c:noMultiLvlLbl val="0"/>
      </c:catAx>
      <c:valAx>
        <c:axId val="15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7463"/>
        <c:axId val="23557168"/>
      </c:barChart>
      <c:catAx>
        <c:axId val="2617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57168"/>
        <c:crosses val="autoZero"/>
        <c:auto val="1"/>
        <c:lblOffset val="100"/>
        <c:noMultiLvlLbl val="0"/>
      </c:catAx>
      <c:valAx>
        <c:axId val="23557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87921"/>
        <c:axId val="29082426"/>
      </c:barChart>
      <c:catAx>
        <c:axId val="10687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82426"/>
        <c:crosses val="autoZero"/>
        <c:auto val="1"/>
        <c:lblOffset val="100"/>
        <c:noMultiLvlLbl val="0"/>
      </c:catAx>
      <c:valAx>
        <c:axId val="2908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7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15243"/>
        <c:axId val="6866276"/>
      </c:barChart>
      <c:catAx>
        <c:axId val="604152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866276"/>
        <c:crosses val="autoZero"/>
        <c:auto val="1"/>
        <c:lblOffset val="100"/>
        <c:noMultiLvlLbl val="0"/>
      </c:catAx>
      <c:valAx>
        <c:axId val="686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15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96485"/>
        <c:axId val="19297454"/>
      </c:barChart>
      <c:catAx>
        <c:axId val="61796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97454"/>
        <c:crosses val="autoZero"/>
        <c:auto val="1"/>
        <c:lblOffset val="100"/>
        <c:noMultiLvlLbl val="0"/>
      </c:catAx>
      <c:valAx>
        <c:axId val="19297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96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59359"/>
        <c:axId val="19589912"/>
      </c:barChart>
      <c:catAx>
        <c:axId val="394593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89912"/>
        <c:crosses val="autoZero"/>
        <c:auto val="1"/>
        <c:lblOffset val="100"/>
        <c:noMultiLvlLbl val="0"/>
      </c:catAx>
      <c:valAx>
        <c:axId val="19589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9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091481"/>
        <c:axId val="43279010"/>
      </c:barChart>
      <c:catAx>
        <c:axId val="42091481"/>
        <c:scaling>
          <c:orientation val="minMax"/>
        </c:scaling>
        <c:axPos val="b"/>
        <c:delete val="1"/>
        <c:majorTickMark val="out"/>
        <c:minorTickMark val="none"/>
        <c:tickLblPos val="none"/>
        <c:crossAx val="43279010"/>
        <c:crosses val="autoZero"/>
        <c:auto val="1"/>
        <c:lblOffset val="100"/>
        <c:noMultiLvlLbl val="0"/>
      </c:catAx>
      <c:valAx>
        <c:axId val="43279010"/>
        <c:scaling>
          <c:orientation val="minMax"/>
        </c:scaling>
        <c:axPos val="l"/>
        <c:delete val="1"/>
        <c:majorTickMark val="out"/>
        <c:minorTickMark val="none"/>
        <c:tickLblPos val="none"/>
        <c:crossAx val="42091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41" totalsRowShown="0" headerRowDxfId="443" dataDxfId="407">
  <autoFilter ref="A2:BN54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4" totalsRowShown="0" headerRowDxfId="295" dataDxfId="294">
  <autoFilter ref="A1:G102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9" totalsRowShown="0" headerRowDxfId="286" dataDxfId="285">
  <autoFilter ref="A1:L80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38" totalsRowShown="0" headerRowDxfId="244" dataDxfId="243">
  <autoFilter ref="A1:C5338"/>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9" totalsRowShown="0" headerRowDxfId="442" dataDxfId="393">
  <autoFilter ref="A2:BT29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41">
  <autoFilter ref="A2:AO3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8" totalsRowShown="0" headerRowDxfId="438" dataDxfId="437">
  <autoFilter ref="A1:C29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cure.jbs.elsevierhealth.com/action/getSharedSiteSession?redirect=https%3A%2F%2Fwww.thelancet.com%2Fjournals%2Flanepe%2Farticle%2FPIIS2666-7762%2821%2900258-1%2Ffulltext%3Fs%3D08%26fbclid%3DIwAR26JHRPQC0fWgEDr3tbyVwMvJhtMzhPXFcFlACyBwRgIHHZK9EozoZu6vA&amp;rc=0" TargetMode="External" /><Relationship Id="rId2" Type="http://schemas.openxmlformats.org/officeDocument/2006/relationships/hyperlink" Target="https://secure.jbs.elsevierhealth.com/action/getSharedSiteSession?redirect=https%3A%2F%2Fwww.thelancet.com%2Fjournals%2Flanepe%2Farticle%2FPIIS2666-7762%2821%2900258-1%2Ffulltext%3Fs%3D08%26fbclid%3DIwAR26JHRPQC0fWgEDr3tbyVwMvJhtMzhPXFcFlACyBwRgIHHZK9EozoZu6vA&amp;rc=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llatiuni/status/1466446380843606025" TargetMode="External" /><Relationship Id="rId2" Type="http://schemas.openxmlformats.org/officeDocument/2006/relationships/hyperlink" Target="https://twitter.com/KorpinenLaura/status/1465773688918364174" TargetMode="External" /><Relationship Id="rId3" Type="http://schemas.openxmlformats.org/officeDocument/2006/relationships/hyperlink" Target="https://tfiglobalnews.com/2021/11/08/japan-crushes-big-pharma-with-a-small-yet-effective-move/" TargetMode="External" /><Relationship Id="rId4" Type="http://schemas.openxmlformats.org/officeDocument/2006/relationships/hyperlink" Target="https://www.mediuutiset.fi/uutiset/suomalainen-koronalaake-sai-patentin-nenasumutelaake-auttaa-erityisesti-jos-rokotekattavuus-uhkaa-jaada-liian-matalaksi-sanoo-keksija/4a819848-a71a-423d-b6bc-c9f605667af2" TargetMode="External" /><Relationship Id="rId5" Type="http://schemas.openxmlformats.org/officeDocument/2006/relationships/hyperlink" Target="https://www.iltalehti.fi/terveysuutiset/a/267d645a-c545-4161-aa04-bc742a580248" TargetMode="External" /><Relationship Id="rId6" Type="http://schemas.openxmlformats.org/officeDocument/2006/relationships/hyperlink" Target="https://twitter.com/OKuokka/status/1448586562934018050" TargetMode="External" /><Relationship Id="rId7" Type="http://schemas.openxmlformats.org/officeDocument/2006/relationships/hyperlink" Target="https://fi.wikipedia.org/wiki/Ivermektiini" TargetMode="External" /><Relationship Id="rId8" Type="http://schemas.openxmlformats.org/officeDocument/2006/relationships/hyperlink" Target="https://www.merck.com/docs/product/safety-data-sheets/ah-sds/Ivermectin%20(3.5_pct)%20Formulation_AH_IE_6N.pdf" TargetMode="External" /><Relationship Id="rId9" Type="http://schemas.openxmlformats.org/officeDocument/2006/relationships/hyperlink" Target="https://www.thegatewaypundit.com/2021/11/now-365-studies-prove-efficacy-ivermectin-hcq-treating-covid-19-will-anyone-confront-fauci-medical-elites-deception/" TargetMode="External" /><Relationship Id="rId10" Type="http://schemas.openxmlformats.org/officeDocument/2006/relationships/hyperlink" Target="https://yle.fi/uutiset/3-11916413" TargetMode="External" /><Relationship Id="rId11" Type="http://schemas.openxmlformats.org/officeDocument/2006/relationships/hyperlink" Target="https://twitter.com/millatiuni/status/1466446380843606025" TargetMode="External" /><Relationship Id="rId12" Type="http://schemas.openxmlformats.org/officeDocument/2006/relationships/hyperlink" Target="https://twitter.com/KorpinenLaura/status/1465773688918364174" TargetMode="External" /><Relationship Id="rId13" Type="http://schemas.openxmlformats.org/officeDocument/2006/relationships/hyperlink" Target="https://tfiglobalnews.com/2021/11/08/japan-crushes-big-pharma-with-a-small-yet-effective-move/" TargetMode="External" /><Relationship Id="rId14" Type="http://schemas.openxmlformats.org/officeDocument/2006/relationships/hyperlink" Target="https://www.iltalehti.fi/terveysuutiset/a/267d645a-c545-4161-aa04-bc742a580248" TargetMode="External" /><Relationship Id="rId15" Type="http://schemas.openxmlformats.org/officeDocument/2006/relationships/hyperlink" Target="https://twitter.com/OKuokka/status/1448586562934018050" TargetMode="External" /><Relationship Id="rId16" Type="http://schemas.openxmlformats.org/officeDocument/2006/relationships/hyperlink" Target="https://yle.fi/uutiset/3-11916413" TargetMode="External" /><Relationship Id="rId17" Type="http://schemas.openxmlformats.org/officeDocument/2006/relationships/hyperlink" Target="https://twitter.com/OKuokka/status/1463819121091563522" TargetMode="External" /><Relationship Id="rId18" Type="http://schemas.openxmlformats.org/officeDocument/2006/relationships/hyperlink" Target="https://www.duodecimlehti.fi/duo12889" TargetMode="External" /><Relationship Id="rId19" Type="http://schemas.openxmlformats.org/officeDocument/2006/relationships/hyperlink" Target="https://m.xkcd.com/1217/" TargetMode="External" /><Relationship Id="rId20" Type="http://schemas.openxmlformats.org/officeDocument/2006/relationships/hyperlink" Target="https://koronarealistit.com/mikko-paunio-sulkutoimet-pois-ivermektiini-ja-d-vitamiini-kayttoon-big-pharman-hyysays-saa-loppua/" TargetMode="External" /><Relationship Id="rId21" Type="http://schemas.openxmlformats.org/officeDocument/2006/relationships/hyperlink" Target="https://fi.wikipedia.org/wiki/Ivermektiini" TargetMode="External" /><Relationship Id="rId22" Type="http://schemas.openxmlformats.org/officeDocument/2006/relationships/hyperlink" Target="https://www.merck.com/docs/product/safety-data-sheets/ah-sds/Ivermectin%20(3.5_pct)%20Formulation_AH_IE_6N.pdf" TargetMode="External" /><Relationship Id="rId23" Type="http://schemas.openxmlformats.org/officeDocument/2006/relationships/hyperlink" Target="https://www.covid19treatmentguidelines.nih.gov/tables/table-2e/" TargetMode="External" /><Relationship Id="rId24" Type="http://schemas.openxmlformats.org/officeDocument/2006/relationships/hyperlink" Target="https://www.nobelprize.org/prizes/medicine/2015/press-release/" TargetMode="External" /><Relationship Id="rId25" Type="http://schemas.openxmlformats.org/officeDocument/2006/relationships/hyperlink" Target="https://www.mediuutiset.fi/uutiset/suomalainen-koronalaake-sai-patentin-nenasumutelaake-auttaa-erityisesti-jos-rokotekattavuus-uhkaa-jaada-liian-matalaksi-sanoo-keksija/4a819848-a71a-423d-b6bc-c9f605667af2" TargetMode="External" /><Relationship Id="rId26" Type="http://schemas.openxmlformats.org/officeDocument/2006/relationships/hyperlink" Target="https://twitter.com/MikaelNiku/status/1465643529154277378" TargetMode="External" /><Relationship Id="rId27" Type="http://schemas.openxmlformats.org/officeDocument/2006/relationships/hyperlink" Target="https://ebm.bmj.com/content/early/2021/05/26/bmjebm-2021-111678" TargetMode="External" /><Relationship Id="rId28" Type="http://schemas.openxmlformats.org/officeDocument/2006/relationships/hyperlink" Target="https://ivmmeta.com/" TargetMode="External" /><Relationship Id="rId29" Type="http://schemas.openxmlformats.org/officeDocument/2006/relationships/hyperlink" Target="https://twitter.com/millatiuni/status/1466446380843606025" TargetMode="External" /><Relationship Id="rId30" Type="http://schemas.openxmlformats.org/officeDocument/2006/relationships/hyperlink" Target="https://www.thegatewaypundit.com/2021/11/now-365-studies-prove-efficacy-ivermectin-hcq-treating-covid-19-will-anyone-confront-fauci-medical-elites-deception/" TargetMode="External" /><Relationship Id="rId31" Type="http://schemas.openxmlformats.org/officeDocument/2006/relationships/hyperlink" Target="https://pubmed.ncbi.nlm.nih.gov/34466270/" TargetMode="External" /><Relationship Id="rId32" Type="http://schemas.openxmlformats.org/officeDocument/2006/relationships/hyperlink" Target="https://secure.jbs.elsevierhealth.com/action/getSharedSiteSession?redirect=https%3A%2F%2Fwww.thelancet.com%2Fjournals%2Flanepe%2Farticle%2FPIIS2666-7762%2821%2900258-1%2Ffulltext%3Fs%3D08%26fbclid%3DIwAR26JHRPQC0fWgEDr3tbyVwMvJhtMzhPXFcFlACyBwRgIHHZK9EozoZu6vA&amp;rc=0" TargetMode="External" /><Relationship Id="rId33" Type="http://schemas.openxmlformats.org/officeDocument/2006/relationships/hyperlink" Target="https://twitter.com/millatiuni/status/1466446380843606025" TargetMode="External" /><Relationship Id="rId34" Type="http://schemas.openxmlformats.org/officeDocument/2006/relationships/hyperlink" Target="https://www.reddit.com/r/conspiracy/comments/pkcl0k/im_a_physician_from_egypt_thats_the_latest_update/" TargetMode="External" /><Relationship Id="rId35" Type="http://schemas.openxmlformats.org/officeDocument/2006/relationships/hyperlink" Target="https://twitter.com/millatiuni/status/1466446380843606025" TargetMode="External" /><Relationship Id="rId36" Type="http://schemas.openxmlformats.org/officeDocument/2006/relationships/hyperlink" Target="https://www.worldometers.info/coronavirus/" TargetMode="External" /><Relationship Id="rId37" Type="http://schemas.openxmlformats.org/officeDocument/2006/relationships/hyperlink" Target="https://twitter.com/millatiuni/status/1466446380843606025" TargetMode="External" /><Relationship Id="rId38" Type="http://schemas.openxmlformats.org/officeDocument/2006/relationships/hyperlink" Target="https://c19early.com/" TargetMode="External" /><Relationship Id="rId39" Type="http://schemas.openxmlformats.org/officeDocument/2006/relationships/hyperlink" Target="https://twitter.com/Tommi_Kinnunen/status/1465795338552459274" TargetMode="External" /><Relationship Id="rId40" Type="http://schemas.openxmlformats.org/officeDocument/2006/relationships/hyperlink" Target="https://eu.usatoday.com/story/news/factcheck/2021/05/21/fact-check-india-covid-19-cases-hydroxychloroquine-not-related/5173021001/" TargetMode="External" /><Relationship Id="rId41" Type="http://schemas.openxmlformats.org/officeDocument/2006/relationships/hyperlink" Target="https://eu.usatoday.com/story/news/factcheck/2021/05/11/fact-check-indias-covid-19-surge-not-connected-vaccinations/4988690001/" TargetMode="Externa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1"/>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2606</v>
      </c>
      <c r="BD2" s="13" t="s">
        <v>2648</v>
      </c>
      <c r="BE2" s="13" t="s">
        <v>2649</v>
      </c>
      <c r="BF2" s="54" t="s">
        <v>3123</v>
      </c>
      <c r="BG2" s="54" t="s">
        <v>3124</v>
      </c>
      <c r="BH2" s="54" t="s">
        <v>3125</v>
      </c>
      <c r="BI2" s="54" t="s">
        <v>3126</v>
      </c>
      <c r="BJ2" s="54" t="s">
        <v>3127</v>
      </c>
      <c r="BK2" s="54" t="s">
        <v>3128</v>
      </c>
      <c r="BL2" s="54" t="s">
        <v>3129</v>
      </c>
      <c r="BM2" s="54" t="s">
        <v>3130</v>
      </c>
      <c r="BN2" s="54" t="s">
        <v>3131</v>
      </c>
    </row>
    <row r="3" spans="1:66" ht="15" customHeight="1">
      <c r="A3" s="65" t="s">
        <v>225</v>
      </c>
      <c r="B3" s="65" t="s">
        <v>433</v>
      </c>
      <c r="C3" s="66" t="s">
        <v>5817</v>
      </c>
      <c r="D3" s="67">
        <v>1</v>
      </c>
      <c r="E3" s="68" t="s">
        <v>132</v>
      </c>
      <c r="F3" s="69">
        <v>32</v>
      </c>
      <c r="G3" s="66" t="s">
        <v>51</v>
      </c>
      <c r="H3" s="70"/>
      <c r="I3" s="71"/>
      <c r="J3" s="71"/>
      <c r="K3" s="35" t="s">
        <v>65</v>
      </c>
      <c r="L3" s="72">
        <v>3</v>
      </c>
      <c r="M3" s="72"/>
      <c r="N3" s="73"/>
      <c r="O3" s="89" t="s">
        <v>525</v>
      </c>
      <c r="P3" s="92">
        <v>44525.70248842592</v>
      </c>
      <c r="Q3" s="89" t="s">
        <v>526</v>
      </c>
      <c r="R3" s="95" t="str">
        <f>HYPERLINK("https://tfiglobalnews.com/2021/11/08/japan-crushes-big-pharma-with-a-small-yet-effective-move/")</f>
        <v>https://tfiglobalnews.com/2021/11/08/japan-crushes-big-pharma-with-a-small-yet-effective-move/</v>
      </c>
      <c r="S3" s="89" t="s">
        <v>689</v>
      </c>
      <c r="T3" s="89"/>
      <c r="U3" s="89"/>
      <c r="V3" s="95" t="str">
        <f>HYPERLINK("https://pbs.twimg.com/profile_images/570894576836038656/i6dHL9Sn_normal.jpeg")</f>
        <v>https://pbs.twimg.com/profile_images/570894576836038656/i6dHL9Sn_normal.jpeg</v>
      </c>
      <c r="W3" s="92">
        <v>44525.70248842592</v>
      </c>
      <c r="X3" s="99">
        <v>44525</v>
      </c>
      <c r="Y3" s="102" t="s">
        <v>718</v>
      </c>
      <c r="Z3" s="95" t="str">
        <f>HYPERLINK("https://twitter.com/icecleverheart/status/1463913264979582978")</f>
        <v>https://twitter.com/icecleverheart/status/1463913264979582978</v>
      </c>
      <c r="AA3" s="89"/>
      <c r="AB3" s="89"/>
      <c r="AC3" s="102" t="s">
        <v>970</v>
      </c>
      <c r="AD3" s="89"/>
      <c r="AE3" s="89" t="b">
        <v>0</v>
      </c>
      <c r="AF3" s="89">
        <v>0</v>
      </c>
      <c r="AG3" s="102" t="s">
        <v>1338</v>
      </c>
      <c r="AH3" s="89" t="b">
        <v>0</v>
      </c>
      <c r="AI3" s="89" t="s">
        <v>1442</v>
      </c>
      <c r="AJ3" s="89"/>
      <c r="AK3" s="102" t="s">
        <v>1338</v>
      </c>
      <c r="AL3" s="89" t="b">
        <v>0</v>
      </c>
      <c r="AM3" s="89">
        <v>3</v>
      </c>
      <c r="AN3" s="102" t="s">
        <v>1068</v>
      </c>
      <c r="AO3" s="102" t="s">
        <v>1450</v>
      </c>
      <c r="AP3" s="89" t="b">
        <v>0</v>
      </c>
      <c r="AQ3" s="102" t="s">
        <v>1068</v>
      </c>
      <c r="AR3" s="89" t="s">
        <v>187</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9"/>
      <c r="BG3" s="50"/>
      <c r="BH3" s="49"/>
      <c r="BI3" s="50"/>
      <c r="BJ3" s="49"/>
      <c r="BK3" s="50"/>
      <c r="BL3" s="49"/>
      <c r="BM3" s="50"/>
      <c r="BN3" s="49"/>
    </row>
    <row r="4" spans="1:66" ht="15" customHeight="1">
      <c r="A4" s="65" t="s">
        <v>225</v>
      </c>
      <c r="B4" s="65" t="s">
        <v>267</v>
      </c>
      <c r="C4" s="66" t="s">
        <v>5817</v>
      </c>
      <c r="D4" s="67">
        <v>1</v>
      </c>
      <c r="E4" s="68" t="s">
        <v>132</v>
      </c>
      <c r="F4" s="69">
        <v>32</v>
      </c>
      <c r="G4" s="66" t="s">
        <v>51</v>
      </c>
      <c r="H4" s="70"/>
      <c r="I4" s="71"/>
      <c r="J4" s="71"/>
      <c r="K4" s="35" t="s">
        <v>65</v>
      </c>
      <c r="L4" s="79">
        <v>4</v>
      </c>
      <c r="M4" s="79"/>
      <c r="N4" s="73"/>
      <c r="O4" s="90" t="s">
        <v>522</v>
      </c>
      <c r="P4" s="93">
        <v>44525.70248842592</v>
      </c>
      <c r="Q4" s="90" t="s">
        <v>526</v>
      </c>
      <c r="R4" s="96" t="str">
        <f>HYPERLINK("https://tfiglobalnews.com/2021/11/08/japan-crushes-big-pharma-with-a-small-yet-effective-move/")</f>
        <v>https://tfiglobalnews.com/2021/11/08/japan-crushes-big-pharma-with-a-small-yet-effective-move/</v>
      </c>
      <c r="S4" s="90" t="s">
        <v>689</v>
      </c>
      <c r="T4" s="90"/>
      <c r="U4" s="90"/>
      <c r="V4" s="96" t="str">
        <f>HYPERLINK("https://pbs.twimg.com/profile_images/570894576836038656/i6dHL9Sn_normal.jpeg")</f>
        <v>https://pbs.twimg.com/profile_images/570894576836038656/i6dHL9Sn_normal.jpeg</v>
      </c>
      <c r="W4" s="93">
        <v>44525.70248842592</v>
      </c>
      <c r="X4" s="100">
        <v>44525</v>
      </c>
      <c r="Y4" s="97" t="s">
        <v>718</v>
      </c>
      <c r="Z4" s="96" t="str">
        <f>HYPERLINK("https://twitter.com/icecleverheart/status/1463913264979582978")</f>
        <v>https://twitter.com/icecleverheart/status/1463913264979582978</v>
      </c>
      <c r="AA4" s="90"/>
      <c r="AB4" s="90"/>
      <c r="AC4" s="97" t="s">
        <v>970</v>
      </c>
      <c r="AD4" s="90"/>
      <c r="AE4" s="90" t="b">
        <v>0</v>
      </c>
      <c r="AF4" s="90">
        <v>0</v>
      </c>
      <c r="AG4" s="97" t="s">
        <v>1338</v>
      </c>
      <c r="AH4" s="90" t="b">
        <v>0</v>
      </c>
      <c r="AI4" s="90" t="s">
        <v>1442</v>
      </c>
      <c r="AJ4" s="90"/>
      <c r="AK4" s="97" t="s">
        <v>1338</v>
      </c>
      <c r="AL4" s="90" t="b">
        <v>0</v>
      </c>
      <c r="AM4" s="90">
        <v>3</v>
      </c>
      <c r="AN4" s="97" t="s">
        <v>1068</v>
      </c>
      <c r="AO4" s="97" t="s">
        <v>1450</v>
      </c>
      <c r="AP4" s="90" t="b">
        <v>0</v>
      </c>
      <c r="AQ4" s="97" t="s">
        <v>1068</v>
      </c>
      <c r="AR4" s="90" t="s">
        <v>187</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c r="BG4" s="50"/>
      <c r="BH4" s="49"/>
      <c r="BI4" s="50"/>
      <c r="BJ4" s="49"/>
      <c r="BK4" s="50"/>
      <c r="BL4" s="49"/>
      <c r="BM4" s="50"/>
      <c r="BN4" s="49"/>
    </row>
    <row r="5" spans="1:66" ht="15">
      <c r="A5" s="65" t="s">
        <v>225</v>
      </c>
      <c r="B5" s="65" t="s">
        <v>378</v>
      </c>
      <c r="C5" s="66" t="s">
        <v>5817</v>
      </c>
      <c r="D5" s="67">
        <v>1</v>
      </c>
      <c r="E5" s="68" t="s">
        <v>132</v>
      </c>
      <c r="F5" s="69">
        <v>32</v>
      </c>
      <c r="G5" s="66" t="s">
        <v>51</v>
      </c>
      <c r="H5" s="70"/>
      <c r="I5" s="71"/>
      <c r="J5" s="71"/>
      <c r="K5" s="35" t="s">
        <v>65</v>
      </c>
      <c r="L5" s="79">
        <v>5</v>
      </c>
      <c r="M5" s="79"/>
      <c r="N5" s="73"/>
      <c r="O5" s="90" t="s">
        <v>523</v>
      </c>
      <c r="P5" s="93">
        <v>44525.70248842592</v>
      </c>
      <c r="Q5" s="90" t="s">
        <v>526</v>
      </c>
      <c r="R5" s="96" t="str">
        <f>HYPERLINK("https://tfiglobalnews.com/2021/11/08/japan-crushes-big-pharma-with-a-small-yet-effective-move/")</f>
        <v>https://tfiglobalnews.com/2021/11/08/japan-crushes-big-pharma-with-a-small-yet-effective-move/</v>
      </c>
      <c r="S5" s="90" t="s">
        <v>689</v>
      </c>
      <c r="T5" s="90"/>
      <c r="U5" s="90"/>
      <c r="V5" s="96" t="str">
        <f>HYPERLINK("https://pbs.twimg.com/profile_images/570894576836038656/i6dHL9Sn_normal.jpeg")</f>
        <v>https://pbs.twimg.com/profile_images/570894576836038656/i6dHL9Sn_normal.jpeg</v>
      </c>
      <c r="W5" s="93">
        <v>44525.70248842592</v>
      </c>
      <c r="X5" s="100">
        <v>44525</v>
      </c>
      <c r="Y5" s="97" t="s">
        <v>718</v>
      </c>
      <c r="Z5" s="96" t="str">
        <f>HYPERLINK("https://twitter.com/icecleverheart/status/1463913264979582978")</f>
        <v>https://twitter.com/icecleverheart/status/1463913264979582978</v>
      </c>
      <c r="AA5" s="90"/>
      <c r="AB5" s="90"/>
      <c r="AC5" s="97" t="s">
        <v>970</v>
      </c>
      <c r="AD5" s="90"/>
      <c r="AE5" s="90" t="b">
        <v>0</v>
      </c>
      <c r="AF5" s="90">
        <v>0</v>
      </c>
      <c r="AG5" s="97" t="s">
        <v>1338</v>
      </c>
      <c r="AH5" s="90" t="b">
        <v>0</v>
      </c>
      <c r="AI5" s="90" t="s">
        <v>1442</v>
      </c>
      <c r="AJ5" s="90"/>
      <c r="AK5" s="97" t="s">
        <v>1338</v>
      </c>
      <c r="AL5" s="90" t="b">
        <v>0</v>
      </c>
      <c r="AM5" s="90">
        <v>3</v>
      </c>
      <c r="AN5" s="97" t="s">
        <v>1068</v>
      </c>
      <c r="AO5" s="97" t="s">
        <v>1450</v>
      </c>
      <c r="AP5" s="90" t="b">
        <v>0</v>
      </c>
      <c r="AQ5" s="97" t="s">
        <v>1068</v>
      </c>
      <c r="AR5" s="90" t="s">
        <v>187</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5" t="s">
        <v>226</v>
      </c>
      <c r="B6" s="65" t="s">
        <v>226</v>
      </c>
      <c r="C6" s="66" t="s">
        <v>5817</v>
      </c>
      <c r="D6" s="67">
        <v>1</v>
      </c>
      <c r="E6" s="68" t="s">
        <v>132</v>
      </c>
      <c r="F6" s="69">
        <v>32</v>
      </c>
      <c r="G6" s="66" t="s">
        <v>51</v>
      </c>
      <c r="H6" s="70"/>
      <c r="I6" s="71"/>
      <c r="J6" s="71"/>
      <c r="K6" s="35" t="s">
        <v>65</v>
      </c>
      <c r="L6" s="79">
        <v>6</v>
      </c>
      <c r="M6" s="79"/>
      <c r="N6" s="73"/>
      <c r="O6" s="90" t="s">
        <v>187</v>
      </c>
      <c r="P6" s="93">
        <v>44524.50478009259</v>
      </c>
      <c r="Q6" s="90" t="s">
        <v>527</v>
      </c>
      <c r="R6" s="90"/>
      <c r="S6" s="90"/>
      <c r="T6" s="97" t="s">
        <v>711</v>
      </c>
      <c r="U6" s="96" t="str">
        <f>HYPERLINK("https://pbs.twimg.com/media/FE9SSD7XEAAtLBv.jpg")</f>
        <v>https://pbs.twimg.com/media/FE9SSD7XEAAtLBv.jpg</v>
      </c>
      <c r="V6" s="96" t="str">
        <f>HYPERLINK("https://pbs.twimg.com/media/FE9SSD7XEAAtLBv.jpg")</f>
        <v>https://pbs.twimg.com/media/FE9SSD7XEAAtLBv.jpg</v>
      </c>
      <c r="W6" s="93">
        <v>44524.50478009259</v>
      </c>
      <c r="X6" s="100">
        <v>44524</v>
      </c>
      <c r="Y6" s="97" t="s">
        <v>719</v>
      </c>
      <c r="Z6" s="96" t="str">
        <f>HYPERLINK("https://twitter.com/koronafi/status/1463479230591819779")</f>
        <v>https://twitter.com/koronafi/status/1463479230591819779</v>
      </c>
      <c r="AA6" s="90"/>
      <c r="AB6" s="90"/>
      <c r="AC6" s="97" t="s">
        <v>971</v>
      </c>
      <c r="AD6" s="90"/>
      <c r="AE6" s="90" t="b">
        <v>0</v>
      </c>
      <c r="AF6" s="90">
        <v>33</v>
      </c>
      <c r="AG6" s="97" t="s">
        <v>1338</v>
      </c>
      <c r="AH6" s="90" t="b">
        <v>0</v>
      </c>
      <c r="AI6" s="90" t="s">
        <v>1442</v>
      </c>
      <c r="AJ6" s="90"/>
      <c r="AK6" s="97" t="s">
        <v>1338</v>
      </c>
      <c r="AL6" s="90" t="b">
        <v>0</v>
      </c>
      <c r="AM6" s="90">
        <v>20</v>
      </c>
      <c r="AN6" s="97" t="s">
        <v>1338</v>
      </c>
      <c r="AO6" s="97" t="s">
        <v>1450</v>
      </c>
      <c r="AP6" s="90" t="b">
        <v>0</v>
      </c>
      <c r="AQ6" s="97" t="s">
        <v>971</v>
      </c>
      <c r="AR6" s="90" t="s">
        <v>522</v>
      </c>
      <c r="AS6" s="90">
        <v>0</v>
      </c>
      <c r="AT6" s="90">
        <v>0</v>
      </c>
      <c r="AU6" s="90"/>
      <c r="AV6" s="90"/>
      <c r="AW6" s="90"/>
      <c r="AX6" s="90"/>
      <c r="AY6" s="90"/>
      <c r="AZ6" s="90"/>
      <c r="BA6" s="90"/>
      <c r="BB6" s="90"/>
      <c r="BC6">
        <v>1</v>
      </c>
      <c r="BD6" s="89" t="str">
        <f>REPLACE(INDEX(GroupVertices[Group],MATCH(Edges[[#This Row],[Vertex 1]],GroupVertices[Vertex],0)),1,1,"")</f>
        <v>28</v>
      </c>
      <c r="BE6" s="89" t="str">
        <f>REPLACE(INDEX(GroupVertices[Group],MATCH(Edges[[#This Row],[Vertex 2]],GroupVertices[Vertex],0)),1,1,"")</f>
        <v>28</v>
      </c>
      <c r="BF6" s="49">
        <v>0</v>
      </c>
      <c r="BG6" s="50">
        <v>0</v>
      </c>
      <c r="BH6" s="49">
        <v>0</v>
      </c>
      <c r="BI6" s="50">
        <v>0</v>
      </c>
      <c r="BJ6" s="49">
        <v>0</v>
      </c>
      <c r="BK6" s="50">
        <v>0</v>
      </c>
      <c r="BL6" s="49">
        <v>34</v>
      </c>
      <c r="BM6" s="50">
        <v>100</v>
      </c>
      <c r="BN6" s="49">
        <v>34</v>
      </c>
    </row>
    <row r="7" spans="1:66" ht="15">
      <c r="A7" s="65" t="s">
        <v>227</v>
      </c>
      <c r="B7" s="65" t="s">
        <v>226</v>
      </c>
      <c r="C7" s="66" t="s">
        <v>5817</v>
      </c>
      <c r="D7" s="67">
        <v>1</v>
      </c>
      <c r="E7" s="68" t="s">
        <v>132</v>
      </c>
      <c r="F7" s="69">
        <v>32</v>
      </c>
      <c r="G7" s="66" t="s">
        <v>51</v>
      </c>
      <c r="H7" s="70"/>
      <c r="I7" s="71"/>
      <c r="J7" s="71"/>
      <c r="K7" s="35" t="s">
        <v>65</v>
      </c>
      <c r="L7" s="79">
        <v>7</v>
      </c>
      <c r="M7" s="79"/>
      <c r="N7" s="73"/>
      <c r="O7" s="90" t="s">
        <v>522</v>
      </c>
      <c r="P7" s="93">
        <v>44525.786678240744</v>
      </c>
      <c r="Q7" s="90" t="s">
        <v>527</v>
      </c>
      <c r="R7" s="90"/>
      <c r="S7" s="90"/>
      <c r="T7" s="97" t="s">
        <v>711</v>
      </c>
      <c r="U7" s="96" t="str">
        <f>HYPERLINK("https://pbs.twimg.com/media/FE9SSD7XEAAtLBv.jpg")</f>
        <v>https://pbs.twimg.com/media/FE9SSD7XEAAtLBv.jpg</v>
      </c>
      <c r="V7" s="96" t="str">
        <f>HYPERLINK("https://pbs.twimg.com/media/FE9SSD7XEAAtLBv.jpg")</f>
        <v>https://pbs.twimg.com/media/FE9SSD7XEAAtLBv.jpg</v>
      </c>
      <c r="W7" s="93">
        <v>44525.786678240744</v>
      </c>
      <c r="X7" s="100">
        <v>44525</v>
      </c>
      <c r="Y7" s="97" t="s">
        <v>720</v>
      </c>
      <c r="Z7" s="96" t="str">
        <f>HYPERLINK("https://twitter.com/iinamaki/status/1463943773822533633")</f>
        <v>https://twitter.com/iinamaki/status/1463943773822533633</v>
      </c>
      <c r="AA7" s="90"/>
      <c r="AB7" s="90"/>
      <c r="AC7" s="97" t="s">
        <v>972</v>
      </c>
      <c r="AD7" s="90"/>
      <c r="AE7" s="90" t="b">
        <v>0</v>
      </c>
      <c r="AF7" s="90">
        <v>0</v>
      </c>
      <c r="AG7" s="97" t="s">
        <v>1338</v>
      </c>
      <c r="AH7" s="90" t="b">
        <v>0</v>
      </c>
      <c r="AI7" s="90" t="s">
        <v>1442</v>
      </c>
      <c r="AJ7" s="90"/>
      <c r="AK7" s="97" t="s">
        <v>1338</v>
      </c>
      <c r="AL7" s="90" t="b">
        <v>0</v>
      </c>
      <c r="AM7" s="90">
        <v>20</v>
      </c>
      <c r="AN7" s="97" t="s">
        <v>971</v>
      </c>
      <c r="AO7" s="97" t="s">
        <v>1450</v>
      </c>
      <c r="AP7" s="90" t="b">
        <v>0</v>
      </c>
      <c r="AQ7" s="97" t="s">
        <v>971</v>
      </c>
      <c r="AR7" s="90" t="s">
        <v>187</v>
      </c>
      <c r="AS7" s="90">
        <v>0</v>
      </c>
      <c r="AT7" s="90">
        <v>0</v>
      </c>
      <c r="AU7" s="90"/>
      <c r="AV7" s="90"/>
      <c r="AW7" s="90"/>
      <c r="AX7" s="90"/>
      <c r="AY7" s="90"/>
      <c r="AZ7" s="90"/>
      <c r="BA7" s="90"/>
      <c r="BB7" s="90"/>
      <c r="BC7">
        <v>1</v>
      </c>
      <c r="BD7" s="89" t="str">
        <f>REPLACE(INDEX(GroupVertices[Group],MATCH(Edges[[#This Row],[Vertex 1]],GroupVertices[Vertex],0)),1,1,"")</f>
        <v>28</v>
      </c>
      <c r="BE7" s="89" t="str">
        <f>REPLACE(INDEX(GroupVertices[Group],MATCH(Edges[[#This Row],[Vertex 2]],GroupVertices[Vertex],0)),1,1,"")</f>
        <v>28</v>
      </c>
      <c r="BF7" s="49">
        <v>0</v>
      </c>
      <c r="BG7" s="50">
        <v>0</v>
      </c>
      <c r="BH7" s="49">
        <v>0</v>
      </c>
      <c r="BI7" s="50">
        <v>0</v>
      </c>
      <c r="BJ7" s="49">
        <v>0</v>
      </c>
      <c r="BK7" s="50">
        <v>0</v>
      </c>
      <c r="BL7" s="49">
        <v>34</v>
      </c>
      <c r="BM7" s="50">
        <v>100</v>
      </c>
      <c r="BN7" s="49">
        <v>34</v>
      </c>
    </row>
    <row r="8" spans="1:66" ht="15">
      <c r="A8" s="65" t="s">
        <v>228</v>
      </c>
      <c r="B8" s="65" t="s">
        <v>287</v>
      </c>
      <c r="C8" s="66" t="s">
        <v>5817</v>
      </c>
      <c r="D8" s="67">
        <v>1</v>
      </c>
      <c r="E8" s="68" t="s">
        <v>132</v>
      </c>
      <c r="F8" s="69">
        <v>32</v>
      </c>
      <c r="G8" s="66" t="s">
        <v>51</v>
      </c>
      <c r="H8" s="70"/>
      <c r="I8" s="71"/>
      <c r="J8" s="71"/>
      <c r="K8" s="35" t="s">
        <v>65</v>
      </c>
      <c r="L8" s="79">
        <v>8</v>
      </c>
      <c r="M8" s="79"/>
      <c r="N8" s="73"/>
      <c r="O8" s="90" t="s">
        <v>522</v>
      </c>
      <c r="P8" s="93">
        <v>44525.85954861111</v>
      </c>
      <c r="Q8" s="90" t="s">
        <v>528</v>
      </c>
      <c r="R8" s="90"/>
      <c r="S8" s="90"/>
      <c r="T8" s="90"/>
      <c r="U8" s="96" t="str">
        <f>HYPERLINK("https://pbs.twimg.com/media/FEyeCZTWYAML1pL.jpg")</f>
        <v>https://pbs.twimg.com/media/FEyeCZTWYAML1pL.jpg</v>
      </c>
      <c r="V8" s="96" t="str">
        <f>HYPERLINK("https://pbs.twimg.com/media/FEyeCZTWYAML1pL.jpg")</f>
        <v>https://pbs.twimg.com/media/FEyeCZTWYAML1pL.jpg</v>
      </c>
      <c r="W8" s="93">
        <v>44525.85954861111</v>
      </c>
      <c r="X8" s="100">
        <v>44525</v>
      </c>
      <c r="Y8" s="97" t="s">
        <v>721</v>
      </c>
      <c r="Z8" s="96" t="str">
        <f>HYPERLINK("https://twitter.com/suskulondon/status/1463970180858535943")</f>
        <v>https://twitter.com/suskulondon/status/1463970180858535943</v>
      </c>
      <c r="AA8" s="90"/>
      <c r="AB8" s="90"/>
      <c r="AC8" s="97" t="s">
        <v>973</v>
      </c>
      <c r="AD8" s="90"/>
      <c r="AE8" s="90" t="b">
        <v>0</v>
      </c>
      <c r="AF8" s="90">
        <v>0</v>
      </c>
      <c r="AG8" s="97" t="s">
        <v>1338</v>
      </c>
      <c r="AH8" s="90" t="b">
        <v>0</v>
      </c>
      <c r="AI8" s="90" t="s">
        <v>1442</v>
      </c>
      <c r="AJ8" s="90"/>
      <c r="AK8" s="97" t="s">
        <v>1338</v>
      </c>
      <c r="AL8" s="90" t="b">
        <v>0</v>
      </c>
      <c r="AM8" s="90">
        <v>152</v>
      </c>
      <c r="AN8" s="97" t="s">
        <v>1050</v>
      </c>
      <c r="AO8" s="97" t="s">
        <v>1450</v>
      </c>
      <c r="AP8" s="90" t="b">
        <v>0</v>
      </c>
      <c r="AQ8" s="97" t="s">
        <v>1050</v>
      </c>
      <c r="AR8" s="90" t="s">
        <v>187</v>
      </c>
      <c r="AS8" s="90">
        <v>0</v>
      </c>
      <c r="AT8" s="90">
        <v>0</v>
      </c>
      <c r="AU8" s="90"/>
      <c r="AV8" s="90"/>
      <c r="AW8" s="90"/>
      <c r="AX8" s="90"/>
      <c r="AY8" s="90"/>
      <c r="AZ8" s="90"/>
      <c r="BA8" s="90"/>
      <c r="BB8" s="90"/>
      <c r="BC8">
        <v>1</v>
      </c>
      <c r="BD8" s="89" t="str">
        <f>REPLACE(INDEX(GroupVertices[Group],MATCH(Edges[[#This Row],[Vertex 1]],GroupVertices[Vertex],0)),1,1,"")</f>
        <v>4</v>
      </c>
      <c r="BE8" s="89" t="str">
        <f>REPLACE(INDEX(GroupVertices[Group],MATCH(Edges[[#This Row],[Vertex 2]],GroupVertices[Vertex],0)),1,1,"")</f>
        <v>4</v>
      </c>
      <c r="BF8" s="49">
        <v>0</v>
      </c>
      <c r="BG8" s="50">
        <v>0</v>
      </c>
      <c r="BH8" s="49">
        <v>0</v>
      </c>
      <c r="BI8" s="50">
        <v>0</v>
      </c>
      <c r="BJ8" s="49">
        <v>0</v>
      </c>
      <c r="BK8" s="50">
        <v>0</v>
      </c>
      <c r="BL8" s="49">
        <v>8</v>
      </c>
      <c r="BM8" s="50">
        <v>100</v>
      </c>
      <c r="BN8" s="49">
        <v>8</v>
      </c>
    </row>
    <row r="9" spans="1:66" ht="15">
      <c r="A9" s="65" t="s">
        <v>229</v>
      </c>
      <c r="B9" s="65" t="s">
        <v>287</v>
      </c>
      <c r="C9" s="66" t="s">
        <v>5817</v>
      </c>
      <c r="D9" s="67">
        <v>1</v>
      </c>
      <c r="E9" s="68" t="s">
        <v>132</v>
      </c>
      <c r="F9" s="69">
        <v>32</v>
      </c>
      <c r="G9" s="66" t="s">
        <v>51</v>
      </c>
      <c r="H9" s="70"/>
      <c r="I9" s="71"/>
      <c r="J9" s="71"/>
      <c r="K9" s="35" t="s">
        <v>65</v>
      </c>
      <c r="L9" s="79">
        <v>9</v>
      </c>
      <c r="M9" s="79"/>
      <c r="N9" s="73"/>
      <c r="O9" s="90" t="s">
        <v>522</v>
      </c>
      <c r="P9" s="93">
        <v>44525.86516203704</v>
      </c>
      <c r="Q9" s="90" t="s">
        <v>528</v>
      </c>
      <c r="R9" s="90"/>
      <c r="S9" s="90"/>
      <c r="T9" s="90"/>
      <c r="U9" s="96" t="str">
        <f>HYPERLINK("https://pbs.twimg.com/media/FEyeCZTWYAML1pL.jpg")</f>
        <v>https://pbs.twimg.com/media/FEyeCZTWYAML1pL.jpg</v>
      </c>
      <c r="V9" s="96" t="str">
        <f>HYPERLINK("https://pbs.twimg.com/media/FEyeCZTWYAML1pL.jpg")</f>
        <v>https://pbs.twimg.com/media/FEyeCZTWYAML1pL.jpg</v>
      </c>
      <c r="W9" s="93">
        <v>44525.86516203704</v>
      </c>
      <c r="X9" s="100">
        <v>44525</v>
      </c>
      <c r="Y9" s="97" t="s">
        <v>722</v>
      </c>
      <c r="Z9" s="96" t="str">
        <f>HYPERLINK("https://twitter.com/kilpikonna8/status/1463972217050570766")</f>
        <v>https://twitter.com/kilpikonna8/status/1463972217050570766</v>
      </c>
      <c r="AA9" s="90"/>
      <c r="AB9" s="90"/>
      <c r="AC9" s="97" t="s">
        <v>974</v>
      </c>
      <c r="AD9" s="90"/>
      <c r="AE9" s="90" t="b">
        <v>0</v>
      </c>
      <c r="AF9" s="90">
        <v>0</v>
      </c>
      <c r="AG9" s="97" t="s">
        <v>1338</v>
      </c>
      <c r="AH9" s="90" t="b">
        <v>0</v>
      </c>
      <c r="AI9" s="90" t="s">
        <v>1442</v>
      </c>
      <c r="AJ9" s="90"/>
      <c r="AK9" s="97" t="s">
        <v>1338</v>
      </c>
      <c r="AL9" s="90" t="b">
        <v>0</v>
      </c>
      <c r="AM9" s="90">
        <v>152</v>
      </c>
      <c r="AN9" s="97" t="s">
        <v>1050</v>
      </c>
      <c r="AO9" s="97" t="s">
        <v>1450</v>
      </c>
      <c r="AP9" s="90" t="b">
        <v>0</v>
      </c>
      <c r="AQ9" s="97" t="s">
        <v>1050</v>
      </c>
      <c r="AR9" s="90" t="s">
        <v>187</v>
      </c>
      <c r="AS9" s="90">
        <v>0</v>
      </c>
      <c r="AT9" s="90">
        <v>0</v>
      </c>
      <c r="AU9" s="90"/>
      <c r="AV9" s="90"/>
      <c r="AW9" s="90"/>
      <c r="AX9" s="90"/>
      <c r="AY9" s="90"/>
      <c r="AZ9" s="90"/>
      <c r="BA9" s="90"/>
      <c r="BB9" s="90"/>
      <c r="BC9">
        <v>1</v>
      </c>
      <c r="BD9" s="89" t="str">
        <f>REPLACE(INDEX(GroupVertices[Group],MATCH(Edges[[#This Row],[Vertex 1]],GroupVertices[Vertex],0)),1,1,"")</f>
        <v>4</v>
      </c>
      <c r="BE9" s="89" t="str">
        <f>REPLACE(INDEX(GroupVertices[Group],MATCH(Edges[[#This Row],[Vertex 2]],GroupVertices[Vertex],0)),1,1,"")</f>
        <v>4</v>
      </c>
      <c r="BF9" s="49">
        <v>0</v>
      </c>
      <c r="BG9" s="50">
        <v>0</v>
      </c>
      <c r="BH9" s="49">
        <v>0</v>
      </c>
      <c r="BI9" s="50">
        <v>0</v>
      </c>
      <c r="BJ9" s="49">
        <v>0</v>
      </c>
      <c r="BK9" s="50">
        <v>0</v>
      </c>
      <c r="BL9" s="49">
        <v>8</v>
      </c>
      <c r="BM9" s="50">
        <v>100</v>
      </c>
      <c r="BN9" s="49">
        <v>8</v>
      </c>
    </row>
    <row r="10" spans="1:66" ht="15">
      <c r="A10" s="65" t="s">
        <v>230</v>
      </c>
      <c r="B10" s="65" t="s">
        <v>379</v>
      </c>
      <c r="C10" s="66" t="s">
        <v>5817</v>
      </c>
      <c r="D10" s="67">
        <v>1</v>
      </c>
      <c r="E10" s="68" t="s">
        <v>132</v>
      </c>
      <c r="F10" s="69">
        <v>32</v>
      </c>
      <c r="G10" s="66" t="s">
        <v>51</v>
      </c>
      <c r="H10" s="70"/>
      <c r="I10" s="71"/>
      <c r="J10" s="71"/>
      <c r="K10" s="35" t="s">
        <v>65</v>
      </c>
      <c r="L10" s="79">
        <v>10</v>
      </c>
      <c r="M10" s="79"/>
      <c r="N10" s="73"/>
      <c r="O10" s="90" t="s">
        <v>523</v>
      </c>
      <c r="P10" s="93">
        <v>44525.86599537037</v>
      </c>
      <c r="Q10" s="90" t="s">
        <v>529</v>
      </c>
      <c r="R10" s="90"/>
      <c r="S10" s="90"/>
      <c r="T10" s="90"/>
      <c r="U10" s="90"/>
      <c r="V10" s="96" t="str">
        <f>HYPERLINK("https://pbs.twimg.com/profile_images/1350163020769587205/WyngecNG_normal.jpg")</f>
        <v>https://pbs.twimg.com/profile_images/1350163020769587205/WyngecNG_normal.jpg</v>
      </c>
      <c r="W10" s="93">
        <v>44525.86599537037</v>
      </c>
      <c r="X10" s="100">
        <v>44525</v>
      </c>
      <c r="Y10" s="97" t="s">
        <v>723</v>
      </c>
      <c r="Z10" s="96" t="str">
        <f>HYPERLINK("https://twitter.com/heikkiray/status/1463972519757684741")</f>
        <v>https://twitter.com/heikkiray/status/1463972519757684741</v>
      </c>
      <c r="AA10" s="90"/>
      <c r="AB10" s="90"/>
      <c r="AC10" s="97" t="s">
        <v>975</v>
      </c>
      <c r="AD10" s="97" t="s">
        <v>1222</v>
      </c>
      <c r="AE10" s="90" t="b">
        <v>0</v>
      </c>
      <c r="AF10" s="90">
        <v>1</v>
      </c>
      <c r="AG10" s="97" t="s">
        <v>1339</v>
      </c>
      <c r="AH10" s="90" t="b">
        <v>0</v>
      </c>
      <c r="AI10" s="90" t="s">
        <v>1442</v>
      </c>
      <c r="AJ10" s="90"/>
      <c r="AK10" s="97" t="s">
        <v>1338</v>
      </c>
      <c r="AL10" s="90" t="b">
        <v>0</v>
      </c>
      <c r="AM10" s="90">
        <v>0</v>
      </c>
      <c r="AN10" s="97" t="s">
        <v>1338</v>
      </c>
      <c r="AO10" s="97" t="s">
        <v>1451</v>
      </c>
      <c r="AP10" s="90" t="b">
        <v>0</v>
      </c>
      <c r="AQ10" s="97" t="s">
        <v>1222</v>
      </c>
      <c r="AR10" s="90" t="s">
        <v>187</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34</v>
      </c>
      <c r="BM10" s="50">
        <v>100</v>
      </c>
      <c r="BN10" s="49">
        <v>34</v>
      </c>
    </row>
    <row r="11" spans="1:66" ht="15">
      <c r="A11" s="65" t="s">
        <v>231</v>
      </c>
      <c r="B11" s="65" t="s">
        <v>348</v>
      </c>
      <c r="C11" s="66" t="s">
        <v>5817</v>
      </c>
      <c r="D11" s="67">
        <v>1</v>
      </c>
      <c r="E11" s="68" t="s">
        <v>132</v>
      </c>
      <c r="F11" s="69">
        <v>32</v>
      </c>
      <c r="G11" s="66" t="s">
        <v>51</v>
      </c>
      <c r="H11" s="70"/>
      <c r="I11" s="71"/>
      <c r="J11" s="71"/>
      <c r="K11" s="35" t="s">
        <v>65</v>
      </c>
      <c r="L11" s="79">
        <v>11</v>
      </c>
      <c r="M11" s="79"/>
      <c r="N11" s="73"/>
      <c r="O11" s="90" t="s">
        <v>524</v>
      </c>
      <c r="P11" s="93">
        <v>44525.92619212963</v>
      </c>
      <c r="Q11" s="90" t="s">
        <v>530</v>
      </c>
      <c r="R11" s="90"/>
      <c r="S11" s="90"/>
      <c r="T11" s="90"/>
      <c r="U11" s="90"/>
      <c r="V11" s="96" t="str">
        <f>HYPERLINK("https://pbs.twimg.com/profile_images/779295389694525440/awhdnUUi_normal.jpg")</f>
        <v>https://pbs.twimg.com/profile_images/779295389694525440/awhdnUUi_normal.jpg</v>
      </c>
      <c r="W11" s="93">
        <v>44525.92619212963</v>
      </c>
      <c r="X11" s="100">
        <v>44525</v>
      </c>
      <c r="Y11" s="97" t="s">
        <v>724</v>
      </c>
      <c r="Z11" s="96" t="str">
        <f>HYPERLINK("https://twitter.com/petrimaenpaa/status/1463994334613852160")</f>
        <v>https://twitter.com/petrimaenpaa/status/1463994334613852160</v>
      </c>
      <c r="AA11" s="90"/>
      <c r="AB11" s="90"/>
      <c r="AC11" s="97" t="s">
        <v>976</v>
      </c>
      <c r="AD11" s="97" t="s">
        <v>1223</v>
      </c>
      <c r="AE11" s="90" t="b">
        <v>0</v>
      </c>
      <c r="AF11" s="90">
        <v>1</v>
      </c>
      <c r="AG11" s="97" t="s">
        <v>1340</v>
      </c>
      <c r="AH11" s="90" t="b">
        <v>0</v>
      </c>
      <c r="AI11" s="90" t="s">
        <v>1442</v>
      </c>
      <c r="AJ11" s="90"/>
      <c r="AK11" s="97" t="s">
        <v>1338</v>
      </c>
      <c r="AL11" s="90" t="b">
        <v>0</v>
      </c>
      <c r="AM11" s="90">
        <v>0</v>
      </c>
      <c r="AN11" s="97" t="s">
        <v>1338</v>
      </c>
      <c r="AO11" s="97" t="s">
        <v>1450</v>
      </c>
      <c r="AP11" s="90" t="b">
        <v>0</v>
      </c>
      <c r="AQ11" s="97" t="s">
        <v>1223</v>
      </c>
      <c r="AR11" s="90" t="s">
        <v>187</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c r="BG11" s="50"/>
      <c r="BH11" s="49"/>
      <c r="BI11" s="50"/>
      <c r="BJ11" s="49"/>
      <c r="BK11" s="50"/>
      <c r="BL11" s="49"/>
      <c r="BM11" s="50"/>
      <c r="BN11" s="49"/>
    </row>
    <row r="12" spans="1:66" ht="15">
      <c r="A12" s="65" t="s">
        <v>231</v>
      </c>
      <c r="B12" s="65" t="s">
        <v>349</v>
      </c>
      <c r="C12" s="66" t="s">
        <v>5817</v>
      </c>
      <c r="D12" s="67">
        <v>1</v>
      </c>
      <c r="E12" s="68" t="s">
        <v>132</v>
      </c>
      <c r="F12" s="69">
        <v>32</v>
      </c>
      <c r="G12" s="66" t="s">
        <v>51</v>
      </c>
      <c r="H12" s="70"/>
      <c r="I12" s="71"/>
      <c r="J12" s="71"/>
      <c r="K12" s="35" t="s">
        <v>65</v>
      </c>
      <c r="L12" s="79">
        <v>12</v>
      </c>
      <c r="M12" s="79"/>
      <c r="N12" s="73"/>
      <c r="O12" s="90" t="s">
        <v>523</v>
      </c>
      <c r="P12" s="93">
        <v>44525.92619212963</v>
      </c>
      <c r="Q12" s="90" t="s">
        <v>530</v>
      </c>
      <c r="R12" s="90"/>
      <c r="S12" s="90"/>
      <c r="T12" s="90"/>
      <c r="U12" s="90"/>
      <c r="V12" s="96" t="str">
        <f>HYPERLINK("https://pbs.twimg.com/profile_images/779295389694525440/awhdnUUi_normal.jpg")</f>
        <v>https://pbs.twimg.com/profile_images/779295389694525440/awhdnUUi_normal.jpg</v>
      </c>
      <c r="W12" s="93">
        <v>44525.92619212963</v>
      </c>
      <c r="X12" s="100">
        <v>44525</v>
      </c>
      <c r="Y12" s="97" t="s">
        <v>724</v>
      </c>
      <c r="Z12" s="96" t="str">
        <f>HYPERLINK("https://twitter.com/petrimaenpaa/status/1463994334613852160")</f>
        <v>https://twitter.com/petrimaenpaa/status/1463994334613852160</v>
      </c>
      <c r="AA12" s="90"/>
      <c r="AB12" s="90"/>
      <c r="AC12" s="97" t="s">
        <v>976</v>
      </c>
      <c r="AD12" s="97" t="s">
        <v>1223</v>
      </c>
      <c r="AE12" s="90" t="b">
        <v>0</v>
      </c>
      <c r="AF12" s="90">
        <v>1</v>
      </c>
      <c r="AG12" s="97" t="s">
        <v>1340</v>
      </c>
      <c r="AH12" s="90" t="b">
        <v>0</v>
      </c>
      <c r="AI12" s="90" t="s">
        <v>1442</v>
      </c>
      <c r="AJ12" s="90"/>
      <c r="AK12" s="97" t="s">
        <v>1338</v>
      </c>
      <c r="AL12" s="90" t="b">
        <v>0</v>
      </c>
      <c r="AM12" s="90">
        <v>0</v>
      </c>
      <c r="AN12" s="97" t="s">
        <v>1338</v>
      </c>
      <c r="AO12" s="97" t="s">
        <v>1450</v>
      </c>
      <c r="AP12" s="90" t="b">
        <v>0</v>
      </c>
      <c r="AQ12" s="97" t="s">
        <v>1223</v>
      </c>
      <c r="AR12" s="90" t="s">
        <v>187</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v>0</v>
      </c>
      <c r="BG12" s="50">
        <v>0</v>
      </c>
      <c r="BH12" s="49">
        <v>0</v>
      </c>
      <c r="BI12" s="50">
        <v>0</v>
      </c>
      <c r="BJ12" s="49">
        <v>0</v>
      </c>
      <c r="BK12" s="50">
        <v>0</v>
      </c>
      <c r="BL12" s="49">
        <v>36</v>
      </c>
      <c r="BM12" s="50">
        <v>100</v>
      </c>
      <c r="BN12" s="49">
        <v>36</v>
      </c>
    </row>
    <row r="13" spans="1:66" ht="15">
      <c r="A13" s="65" t="s">
        <v>232</v>
      </c>
      <c r="B13" s="65" t="s">
        <v>287</v>
      </c>
      <c r="C13" s="66" t="s">
        <v>5817</v>
      </c>
      <c r="D13" s="67">
        <v>1</v>
      </c>
      <c r="E13" s="68" t="s">
        <v>132</v>
      </c>
      <c r="F13" s="69">
        <v>32</v>
      </c>
      <c r="G13" s="66" t="s">
        <v>51</v>
      </c>
      <c r="H13" s="70"/>
      <c r="I13" s="71"/>
      <c r="J13" s="71"/>
      <c r="K13" s="35" t="s">
        <v>65</v>
      </c>
      <c r="L13" s="79">
        <v>13</v>
      </c>
      <c r="M13" s="79"/>
      <c r="N13" s="73"/>
      <c r="O13" s="90" t="s">
        <v>522</v>
      </c>
      <c r="P13" s="93">
        <v>44525.9528587963</v>
      </c>
      <c r="Q13" s="90" t="s">
        <v>528</v>
      </c>
      <c r="R13" s="90"/>
      <c r="S13" s="90"/>
      <c r="T13" s="90"/>
      <c r="U13" s="96" t="str">
        <f>HYPERLINK("https://pbs.twimg.com/media/FEyeCZTWYAML1pL.jpg")</f>
        <v>https://pbs.twimg.com/media/FEyeCZTWYAML1pL.jpg</v>
      </c>
      <c r="V13" s="96" t="str">
        <f>HYPERLINK("https://pbs.twimg.com/media/FEyeCZTWYAML1pL.jpg")</f>
        <v>https://pbs.twimg.com/media/FEyeCZTWYAML1pL.jpg</v>
      </c>
      <c r="W13" s="93">
        <v>44525.9528587963</v>
      </c>
      <c r="X13" s="100">
        <v>44525</v>
      </c>
      <c r="Y13" s="97" t="s">
        <v>725</v>
      </c>
      <c r="Z13" s="96" t="str">
        <f>HYPERLINK("https://twitter.com/aulikkinyberg/status/1464003998827139084")</f>
        <v>https://twitter.com/aulikkinyberg/status/1464003998827139084</v>
      </c>
      <c r="AA13" s="90"/>
      <c r="AB13" s="90"/>
      <c r="AC13" s="97" t="s">
        <v>977</v>
      </c>
      <c r="AD13" s="90"/>
      <c r="AE13" s="90" t="b">
        <v>0</v>
      </c>
      <c r="AF13" s="90">
        <v>0</v>
      </c>
      <c r="AG13" s="97" t="s">
        <v>1338</v>
      </c>
      <c r="AH13" s="90" t="b">
        <v>0</v>
      </c>
      <c r="AI13" s="90" t="s">
        <v>1442</v>
      </c>
      <c r="AJ13" s="90"/>
      <c r="AK13" s="97" t="s">
        <v>1338</v>
      </c>
      <c r="AL13" s="90" t="b">
        <v>0</v>
      </c>
      <c r="AM13" s="90">
        <v>152</v>
      </c>
      <c r="AN13" s="97" t="s">
        <v>1050</v>
      </c>
      <c r="AO13" s="97" t="s">
        <v>1452</v>
      </c>
      <c r="AP13" s="90" t="b">
        <v>0</v>
      </c>
      <c r="AQ13" s="97" t="s">
        <v>1050</v>
      </c>
      <c r="AR13" s="90" t="s">
        <v>187</v>
      </c>
      <c r="AS13" s="90">
        <v>0</v>
      </c>
      <c r="AT13" s="90">
        <v>0</v>
      </c>
      <c r="AU13" s="90"/>
      <c r="AV13" s="90"/>
      <c r="AW13" s="90"/>
      <c r="AX13" s="90"/>
      <c r="AY13" s="90"/>
      <c r="AZ13" s="90"/>
      <c r="BA13" s="90"/>
      <c r="BB13" s="90"/>
      <c r="BC13">
        <v>1</v>
      </c>
      <c r="BD13" s="89" t="str">
        <f>REPLACE(INDEX(GroupVertices[Group],MATCH(Edges[[#This Row],[Vertex 1]],GroupVertices[Vertex],0)),1,1,"")</f>
        <v>4</v>
      </c>
      <c r="BE13" s="89" t="str">
        <f>REPLACE(INDEX(GroupVertices[Group],MATCH(Edges[[#This Row],[Vertex 2]],GroupVertices[Vertex],0)),1,1,"")</f>
        <v>4</v>
      </c>
      <c r="BF13" s="49">
        <v>0</v>
      </c>
      <c r="BG13" s="50">
        <v>0</v>
      </c>
      <c r="BH13" s="49">
        <v>0</v>
      </c>
      <c r="BI13" s="50">
        <v>0</v>
      </c>
      <c r="BJ13" s="49">
        <v>0</v>
      </c>
      <c r="BK13" s="50">
        <v>0</v>
      </c>
      <c r="BL13" s="49">
        <v>8</v>
      </c>
      <c r="BM13" s="50">
        <v>100</v>
      </c>
      <c r="BN13" s="49">
        <v>8</v>
      </c>
    </row>
    <row r="14" spans="1:66" ht="15">
      <c r="A14" s="65" t="s">
        <v>233</v>
      </c>
      <c r="B14" s="65" t="s">
        <v>380</v>
      </c>
      <c r="C14" s="66" t="s">
        <v>5817</v>
      </c>
      <c r="D14" s="67">
        <v>1</v>
      </c>
      <c r="E14" s="68" t="s">
        <v>132</v>
      </c>
      <c r="F14" s="69">
        <v>32</v>
      </c>
      <c r="G14" s="66" t="s">
        <v>51</v>
      </c>
      <c r="H14" s="70"/>
      <c r="I14" s="71"/>
      <c r="J14" s="71"/>
      <c r="K14" s="35" t="s">
        <v>65</v>
      </c>
      <c r="L14" s="79">
        <v>14</v>
      </c>
      <c r="M14" s="79"/>
      <c r="N14" s="73"/>
      <c r="O14" s="90" t="s">
        <v>524</v>
      </c>
      <c r="P14" s="93">
        <v>44526.08960648148</v>
      </c>
      <c r="Q14" s="90" t="s">
        <v>531</v>
      </c>
      <c r="R14" s="90"/>
      <c r="S14" s="90"/>
      <c r="T14" s="90"/>
      <c r="U14" s="90"/>
      <c r="V14" s="96" t="str">
        <f>HYPERLINK("https://pbs.twimg.com/profile_images/1439925151123054595/JszrNebT_normal.jpg")</f>
        <v>https://pbs.twimg.com/profile_images/1439925151123054595/JszrNebT_normal.jpg</v>
      </c>
      <c r="W14" s="93">
        <v>44526.08960648148</v>
      </c>
      <c r="X14" s="100">
        <v>44526</v>
      </c>
      <c r="Y14" s="97" t="s">
        <v>726</v>
      </c>
      <c r="Z14" s="96" t="str">
        <f>HYPERLINK("https://twitter.com/voinpahoin/status/1464053555078307849")</f>
        <v>https://twitter.com/voinpahoin/status/1464053555078307849</v>
      </c>
      <c r="AA14" s="90"/>
      <c r="AB14" s="90"/>
      <c r="AC14" s="97" t="s">
        <v>978</v>
      </c>
      <c r="AD14" s="97" t="s">
        <v>1224</v>
      </c>
      <c r="AE14" s="90" t="b">
        <v>0</v>
      </c>
      <c r="AF14" s="90">
        <v>0</v>
      </c>
      <c r="AG14" s="97" t="s">
        <v>1341</v>
      </c>
      <c r="AH14" s="90" t="b">
        <v>0</v>
      </c>
      <c r="AI14" s="90" t="s">
        <v>1442</v>
      </c>
      <c r="AJ14" s="90"/>
      <c r="AK14" s="97" t="s">
        <v>1338</v>
      </c>
      <c r="AL14" s="90" t="b">
        <v>0</v>
      </c>
      <c r="AM14" s="90">
        <v>0</v>
      </c>
      <c r="AN14" s="97" t="s">
        <v>1338</v>
      </c>
      <c r="AO14" s="97" t="s">
        <v>1452</v>
      </c>
      <c r="AP14" s="90" t="b">
        <v>0</v>
      </c>
      <c r="AQ14" s="97" t="s">
        <v>1224</v>
      </c>
      <c r="AR14" s="90" t="s">
        <v>187</v>
      </c>
      <c r="AS14" s="90">
        <v>0</v>
      </c>
      <c r="AT14" s="90">
        <v>0</v>
      </c>
      <c r="AU14" s="90"/>
      <c r="AV14" s="90"/>
      <c r="AW14" s="90"/>
      <c r="AX14" s="90"/>
      <c r="AY14" s="90"/>
      <c r="AZ14" s="90"/>
      <c r="BA14" s="90"/>
      <c r="BB14" s="90"/>
      <c r="BC14">
        <v>1</v>
      </c>
      <c r="BD14" s="89" t="str">
        <f>REPLACE(INDEX(GroupVertices[Group],MATCH(Edges[[#This Row],[Vertex 1]],GroupVertices[Vertex],0)),1,1,"")</f>
        <v>15</v>
      </c>
      <c r="BE14" s="89" t="str">
        <f>REPLACE(INDEX(GroupVertices[Group],MATCH(Edges[[#This Row],[Vertex 2]],GroupVertices[Vertex],0)),1,1,"")</f>
        <v>15</v>
      </c>
      <c r="BF14" s="49"/>
      <c r="BG14" s="50"/>
      <c r="BH14" s="49"/>
      <c r="BI14" s="50"/>
      <c r="BJ14" s="49"/>
      <c r="BK14" s="50"/>
      <c r="BL14" s="49"/>
      <c r="BM14" s="50"/>
      <c r="BN14" s="49"/>
    </row>
    <row r="15" spans="1:66" ht="15">
      <c r="A15" s="65" t="s">
        <v>233</v>
      </c>
      <c r="B15" s="65" t="s">
        <v>381</v>
      </c>
      <c r="C15" s="66" t="s">
        <v>5817</v>
      </c>
      <c r="D15" s="67">
        <v>1</v>
      </c>
      <c r="E15" s="68" t="s">
        <v>132</v>
      </c>
      <c r="F15" s="69">
        <v>32</v>
      </c>
      <c r="G15" s="66" t="s">
        <v>51</v>
      </c>
      <c r="H15" s="70"/>
      <c r="I15" s="71"/>
      <c r="J15" s="71"/>
      <c r="K15" s="35" t="s">
        <v>65</v>
      </c>
      <c r="L15" s="79">
        <v>15</v>
      </c>
      <c r="M15" s="79"/>
      <c r="N15" s="73"/>
      <c r="O15" s="90" t="s">
        <v>524</v>
      </c>
      <c r="P15" s="93">
        <v>44526.08960648148</v>
      </c>
      <c r="Q15" s="90" t="s">
        <v>531</v>
      </c>
      <c r="R15" s="90"/>
      <c r="S15" s="90"/>
      <c r="T15" s="90"/>
      <c r="U15" s="90"/>
      <c r="V15" s="96" t="str">
        <f>HYPERLINK("https://pbs.twimg.com/profile_images/1439925151123054595/JszrNebT_normal.jpg")</f>
        <v>https://pbs.twimg.com/profile_images/1439925151123054595/JszrNebT_normal.jpg</v>
      </c>
      <c r="W15" s="93">
        <v>44526.08960648148</v>
      </c>
      <c r="X15" s="100">
        <v>44526</v>
      </c>
      <c r="Y15" s="97" t="s">
        <v>726</v>
      </c>
      <c r="Z15" s="96" t="str">
        <f>HYPERLINK("https://twitter.com/voinpahoin/status/1464053555078307849")</f>
        <v>https://twitter.com/voinpahoin/status/1464053555078307849</v>
      </c>
      <c r="AA15" s="90"/>
      <c r="AB15" s="90"/>
      <c r="AC15" s="97" t="s">
        <v>978</v>
      </c>
      <c r="AD15" s="97" t="s">
        <v>1224</v>
      </c>
      <c r="AE15" s="90" t="b">
        <v>0</v>
      </c>
      <c r="AF15" s="90">
        <v>0</v>
      </c>
      <c r="AG15" s="97" t="s">
        <v>1341</v>
      </c>
      <c r="AH15" s="90" t="b">
        <v>0</v>
      </c>
      <c r="AI15" s="90" t="s">
        <v>1442</v>
      </c>
      <c r="AJ15" s="90"/>
      <c r="AK15" s="97" t="s">
        <v>1338</v>
      </c>
      <c r="AL15" s="90" t="b">
        <v>0</v>
      </c>
      <c r="AM15" s="90">
        <v>0</v>
      </c>
      <c r="AN15" s="97" t="s">
        <v>1338</v>
      </c>
      <c r="AO15" s="97" t="s">
        <v>1452</v>
      </c>
      <c r="AP15" s="90" t="b">
        <v>0</v>
      </c>
      <c r="AQ15" s="97" t="s">
        <v>1224</v>
      </c>
      <c r="AR15" s="90" t="s">
        <v>187</v>
      </c>
      <c r="AS15" s="90">
        <v>0</v>
      </c>
      <c r="AT15" s="90">
        <v>0</v>
      </c>
      <c r="AU15" s="90"/>
      <c r="AV15" s="90"/>
      <c r="AW15" s="90"/>
      <c r="AX15" s="90"/>
      <c r="AY15" s="90"/>
      <c r="AZ15" s="90"/>
      <c r="BA15" s="90"/>
      <c r="BB15" s="90"/>
      <c r="BC15">
        <v>1</v>
      </c>
      <c r="BD15" s="89" t="str">
        <f>REPLACE(INDEX(GroupVertices[Group],MATCH(Edges[[#This Row],[Vertex 1]],GroupVertices[Vertex],0)),1,1,"")</f>
        <v>15</v>
      </c>
      <c r="BE15" s="89" t="str">
        <f>REPLACE(INDEX(GroupVertices[Group],MATCH(Edges[[#This Row],[Vertex 2]],GroupVertices[Vertex],0)),1,1,"")</f>
        <v>15</v>
      </c>
      <c r="BF15" s="49"/>
      <c r="BG15" s="50"/>
      <c r="BH15" s="49"/>
      <c r="BI15" s="50"/>
      <c r="BJ15" s="49"/>
      <c r="BK15" s="50"/>
      <c r="BL15" s="49"/>
      <c r="BM15" s="50"/>
      <c r="BN15" s="49"/>
    </row>
    <row r="16" spans="1:66" ht="15">
      <c r="A16" s="65" t="s">
        <v>233</v>
      </c>
      <c r="B16" s="65" t="s">
        <v>382</v>
      </c>
      <c r="C16" s="66" t="s">
        <v>5817</v>
      </c>
      <c r="D16" s="67">
        <v>1</v>
      </c>
      <c r="E16" s="68" t="s">
        <v>132</v>
      </c>
      <c r="F16" s="69">
        <v>32</v>
      </c>
      <c r="G16" s="66" t="s">
        <v>51</v>
      </c>
      <c r="H16" s="70"/>
      <c r="I16" s="71"/>
      <c r="J16" s="71"/>
      <c r="K16" s="35" t="s">
        <v>65</v>
      </c>
      <c r="L16" s="79">
        <v>16</v>
      </c>
      <c r="M16" s="79"/>
      <c r="N16" s="73"/>
      <c r="O16" s="90" t="s">
        <v>523</v>
      </c>
      <c r="P16" s="93">
        <v>44526.08960648148</v>
      </c>
      <c r="Q16" s="90" t="s">
        <v>531</v>
      </c>
      <c r="R16" s="90"/>
      <c r="S16" s="90"/>
      <c r="T16" s="90"/>
      <c r="U16" s="90"/>
      <c r="V16" s="96" t="str">
        <f>HYPERLINK("https://pbs.twimg.com/profile_images/1439925151123054595/JszrNebT_normal.jpg")</f>
        <v>https://pbs.twimg.com/profile_images/1439925151123054595/JszrNebT_normal.jpg</v>
      </c>
      <c r="W16" s="93">
        <v>44526.08960648148</v>
      </c>
      <c r="X16" s="100">
        <v>44526</v>
      </c>
      <c r="Y16" s="97" t="s">
        <v>726</v>
      </c>
      <c r="Z16" s="96" t="str">
        <f>HYPERLINK("https://twitter.com/voinpahoin/status/1464053555078307849")</f>
        <v>https://twitter.com/voinpahoin/status/1464053555078307849</v>
      </c>
      <c r="AA16" s="90"/>
      <c r="AB16" s="90"/>
      <c r="AC16" s="97" t="s">
        <v>978</v>
      </c>
      <c r="AD16" s="97" t="s">
        <v>1224</v>
      </c>
      <c r="AE16" s="90" t="b">
        <v>0</v>
      </c>
      <c r="AF16" s="90">
        <v>0</v>
      </c>
      <c r="AG16" s="97" t="s">
        <v>1341</v>
      </c>
      <c r="AH16" s="90" t="b">
        <v>0</v>
      </c>
      <c r="AI16" s="90" t="s">
        <v>1442</v>
      </c>
      <c r="AJ16" s="90"/>
      <c r="AK16" s="97" t="s">
        <v>1338</v>
      </c>
      <c r="AL16" s="90" t="b">
        <v>0</v>
      </c>
      <c r="AM16" s="90">
        <v>0</v>
      </c>
      <c r="AN16" s="97" t="s">
        <v>1338</v>
      </c>
      <c r="AO16" s="97" t="s">
        <v>1452</v>
      </c>
      <c r="AP16" s="90" t="b">
        <v>0</v>
      </c>
      <c r="AQ16" s="97" t="s">
        <v>1224</v>
      </c>
      <c r="AR16" s="90" t="s">
        <v>187</v>
      </c>
      <c r="AS16" s="90">
        <v>0</v>
      </c>
      <c r="AT16" s="90">
        <v>0</v>
      </c>
      <c r="AU16" s="90"/>
      <c r="AV16" s="90"/>
      <c r="AW16" s="90"/>
      <c r="AX16" s="90"/>
      <c r="AY16" s="90"/>
      <c r="AZ16" s="90"/>
      <c r="BA16" s="90"/>
      <c r="BB16" s="90"/>
      <c r="BC16">
        <v>1</v>
      </c>
      <c r="BD16" s="89" t="str">
        <f>REPLACE(INDEX(GroupVertices[Group],MATCH(Edges[[#This Row],[Vertex 1]],GroupVertices[Vertex],0)),1,1,"")</f>
        <v>15</v>
      </c>
      <c r="BE16" s="89" t="str">
        <f>REPLACE(INDEX(GroupVertices[Group],MATCH(Edges[[#This Row],[Vertex 2]],GroupVertices[Vertex],0)),1,1,"")</f>
        <v>15</v>
      </c>
      <c r="BF16" s="49">
        <v>0</v>
      </c>
      <c r="BG16" s="50">
        <v>0</v>
      </c>
      <c r="BH16" s="49">
        <v>0</v>
      </c>
      <c r="BI16" s="50">
        <v>0</v>
      </c>
      <c r="BJ16" s="49">
        <v>0</v>
      </c>
      <c r="BK16" s="50">
        <v>0</v>
      </c>
      <c r="BL16" s="49">
        <v>8</v>
      </c>
      <c r="BM16" s="50">
        <v>100</v>
      </c>
      <c r="BN16" s="49">
        <v>8</v>
      </c>
    </row>
    <row r="17" spans="1:66" ht="15">
      <c r="A17" s="65" t="s">
        <v>234</v>
      </c>
      <c r="B17" s="65" t="s">
        <v>234</v>
      </c>
      <c r="C17" s="66" t="s">
        <v>5817</v>
      </c>
      <c r="D17" s="67">
        <v>1</v>
      </c>
      <c r="E17" s="68" t="s">
        <v>132</v>
      </c>
      <c r="F17" s="69">
        <v>32</v>
      </c>
      <c r="G17" s="66" t="s">
        <v>51</v>
      </c>
      <c r="H17" s="70"/>
      <c r="I17" s="71"/>
      <c r="J17" s="71"/>
      <c r="K17" s="35" t="s">
        <v>65</v>
      </c>
      <c r="L17" s="79">
        <v>17</v>
      </c>
      <c r="M17" s="79"/>
      <c r="N17" s="73"/>
      <c r="O17" s="90" t="s">
        <v>187</v>
      </c>
      <c r="P17" s="93">
        <v>44526.411157407405</v>
      </c>
      <c r="Q17" s="90" t="s">
        <v>532</v>
      </c>
      <c r="R17" s="96" t="str">
        <f>HYPERLINK("http://www.msn.com/fi-fi/uutiset/kotimaa/tarttuuko-herkemmin-kiert%c3%a4%c3%a4k%c3%b6-rokotesuojaa-t%c3%a4m%c3%a4-uudesta-koronamuunnoksesta-tiedet%c3%a4%c3%a4n-nyt/ar-AAR9wbX?ocid=st")</f>
        <v>http://www.msn.com/fi-fi/uutiset/kotimaa/tarttuuko-herkemmin-kiert%c3%a4%c3%a4k%c3%b6-rokotesuojaa-t%c3%a4m%c3%a4-uudesta-koronamuunnoksesta-tiedet%c3%a4%c3%a4n-nyt/ar-AAR9wbX?ocid=st</v>
      </c>
      <c r="S17" s="90" t="s">
        <v>690</v>
      </c>
      <c r="T17" s="90"/>
      <c r="U17" s="90"/>
      <c r="V17" s="96" t="str">
        <f>HYPERLINK("https://pbs.twimg.com/profile_images/1457530301194850304/O8p1FMBf_normal.jpg")</f>
        <v>https://pbs.twimg.com/profile_images/1457530301194850304/O8p1FMBf_normal.jpg</v>
      </c>
      <c r="W17" s="93">
        <v>44526.411157407405</v>
      </c>
      <c r="X17" s="100">
        <v>44526</v>
      </c>
      <c r="Y17" s="97" t="s">
        <v>727</v>
      </c>
      <c r="Z17" s="96" t="str">
        <f>HYPERLINK("https://twitter.com/kirsi_anneli/status/1464170079067811841")</f>
        <v>https://twitter.com/kirsi_anneli/status/1464170079067811841</v>
      </c>
      <c r="AA17" s="90"/>
      <c r="AB17" s="90"/>
      <c r="AC17" s="97" t="s">
        <v>979</v>
      </c>
      <c r="AD17" s="90"/>
      <c r="AE17" s="90" t="b">
        <v>0</v>
      </c>
      <c r="AF17" s="90">
        <v>0</v>
      </c>
      <c r="AG17" s="97" t="s">
        <v>1338</v>
      </c>
      <c r="AH17" s="90" t="b">
        <v>0</v>
      </c>
      <c r="AI17" s="90" t="s">
        <v>1442</v>
      </c>
      <c r="AJ17" s="90"/>
      <c r="AK17" s="97" t="s">
        <v>1338</v>
      </c>
      <c r="AL17" s="90" t="b">
        <v>0</v>
      </c>
      <c r="AM17" s="90">
        <v>0</v>
      </c>
      <c r="AN17" s="97" t="s">
        <v>1338</v>
      </c>
      <c r="AO17" s="97" t="s">
        <v>1450</v>
      </c>
      <c r="AP17" s="90" t="b">
        <v>0</v>
      </c>
      <c r="AQ17" s="97" t="s">
        <v>979</v>
      </c>
      <c r="AR17" s="90" t="s">
        <v>187</v>
      </c>
      <c r="AS17" s="90">
        <v>0</v>
      </c>
      <c r="AT17" s="90">
        <v>0</v>
      </c>
      <c r="AU17" s="90"/>
      <c r="AV17" s="90"/>
      <c r="AW17" s="90"/>
      <c r="AX17" s="90"/>
      <c r="AY17" s="90"/>
      <c r="AZ17" s="90"/>
      <c r="BA17" s="90"/>
      <c r="BB17" s="90"/>
      <c r="BC17">
        <v>1</v>
      </c>
      <c r="BD17" s="89" t="str">
        <f>REPLACE(INDEX(GroupVertices[Group],MATCH(Edges[[#This Row],[Vertex 1]],GroupVertices[Vertex],0)),1,1,"")</f>
        <v>16</v>
      </c>
      <c r="BE17" s="89" t="str">
        <f>REPLACE(INDEX(GroupVertices[Group],MATCH(Edges[[#This Row],[Vertex 2]],GroupVertices[Vertex],0)),1,1,"")</f>
        <v>16</v>
      </c>
      <c r="BF17" s="49">
        <v>0</v>
      </c>
      <c r="BG17" s="50">
        <v>0</v>
      </c>
      <c r="BH17" s="49">
        <v>0</v>
      </c>
      <c r="BI17" s="50">
        <v>0</v>
      </c>
      <c r="BJ17" s="49">
        <v>0</v>
      </c>
      <c r="BK17" s="50">
        <v>0</v>
      </c>
      <c r="BL17" s="49">
        <v>29</v>
      </c>
      <c r="BM17" s="50">
        <v>100</v>
      </c>
      <c r="BN17" s="49">
        <v>29</v>
      </c>
    </row>
    <row r="18" spans="1:66" ht="15">
      <c r="A18" s="65" t="s">
        <v>235</v>
      </c>
      <c r="B18" s="65" t="s">
        <v>383</v>
      </c>
      <c r="C18" s="66" t="s">
        <v>5817</v>
      </c>
      <c r="D18" s="67">
        <v>1</v>
      </c>
      <c r="E18" s="68" t="s">
        <v>132</v>
      </c>
      <c r="F18" s="69">
        <v>32</v>
      </c>
      <c r="G18" s="66" t="s">
        <v>51</v>
      </c>
      <c r="H18" s="70"/>
      <c r="I18" s="71"/>
      <c r="J18" s="71"/>
      <c r="K18" s="35" t="s">
        <v>65</v>
      </c>
      <c r="L18" s="79">
        <v>18</v>
      </c>
      <c r="M18" s="79"/>
      <c r="N18" s="73"/>
      <c r="O18" s="90" t="s">
        <v>524</v>
      </c>
      <c r="P18" s="93">
        <v>44526.5077662037</v>
      </c>
      <c r="Q18" s="90" t="s">
        <v>533</v>
      </c>
      <c r="R18" s="90"/>
      <c r="S18" s="90"/>
      <c r="T18" s="90"/>
      <c r="U18" s="90"/>
      <c r="V18" s="96" t="str">
        <f>HYPERLINK("https://pbs.twimg.com/profile_images/1457806319017136140/kj6vcSDW_normal.jpg")</f>
        <v>https://pbs.twimg.com/profile_images/1457806319017136140/kj6vcSDW_normal.jpg</v>
      </c>
      <c r="W18" s="93">
        <v>44526.5077662037</v>
      </c>
      <c r="X18" s="100">
        <v>44526</v>
      </c>
      <c r="Y18" s="97" t="s">
        <v>728</v>
      </c>
      <c r="Z18" s="96" t="str">
        <f>HYPERLINK("https://twitter.com/miaumaumiu/status/1464205088965246979")</f>
        <v>https://twitter.com/miaumaumiu/status/1464205088965246979</v>
      </c>
      <c r="AA18" s="90"/>
      <c r="AB18" s="90"/>
      <c r="AC18" s="97" t="s">
        <v>980</v>
      </c>
      <c r="AD18" s="97" t="s">
        <v>1225</v>
      </c>
      <c r="AE18" s="90" t="b">
        <v>0</v>
      </c>
      <c r="AF18" s="90">
        <v>4</v>
      </c>
      <c r="AG18" s="97" t="s">
        <v>1342</v>
      </c>
      <c r="AH18" s="90" t="b">
        <v>0</v>
      </c>
      <c r="AI18" s="90" t="s">
        <v>1442</v>
      </c>
      <c r="AJ18" s="90"/>
      <c r="AK18" s="97" t="s">
        <v>1338</v>
      </c>
      <c r="AL18" s="90" t="b">
        <v>0</v>
      </c>
      <c r="AM18" s="90">
        <v>0</v>
      </c>
      <c r="AN18" s="97" t="s">
        <v>1338</v>
      </c>
      <c r="AO18" s="97" t="s">
        <v>1450</v>
      </c>
      <c r="AP18" s="90" t="b">
        <v>0</v>
      </c>
      <c r="AQ18" s="97" t="s">
        <v>1225</v>
      </c>
      <c r="AR18" s="90" t="s">
        <v>187</v>
      </c>
      <c r="AS18" s="90">
        <v>0</v>
      </c>
      <c r="AT18" s="90">
        <v>0</v>
      </c>
      <c r="AU18" s="90"/>
      <c r="AV18" s="90"/>
      <c r="AW18" s="90"/>
      <c r="AX18" s="90"/>
      <c r="AY18" s="90"/>
      <c r="AZ18" s="90"/>
      <c r="BA18" s="90"/>
      <c r="BB18" s="90"/>
      <c r="BC18">
        <v>1</v>
      </c>
      <c r="BD18" s="89" t="str">
        <f>REPLACE(INDEX(GroupVertices[Group],MATCH(Edges[[#This Row],[Vertex 1]],GroupVertices[Vertex],0)),1,1,"")</f>
        <v>6</v>
      </c>
      <c r="BE18" s="89" t="str">
        <f>REPLACE(INDEX(GroupVertices[Group],MATCH(Edges[[#This Row],[Vertex 2]],GroupVertices[Vertex],0)),1,1,"")</f>
        <v>6</v>
      </c>
      <c r="BF18" s="49"/>
      <c r="BG18" s="50"/>
      <c r="BH18" s="49"/>
      <c r="BI18" s="50"/>
      <c r="BJ18" s="49"/>
      <c r="BK18" s="50"/>
      <c r="BL18" s="49"/>
      <c r="BM18" s="50"/>
      <c r="BN18" s="49"/>
    </row>
    <row r="19" spans="1:66" ht="15">
      <c r="A19" s="65" t="s">
        <v>235</v>
      </c>
      <c r="B19" s="65" t="s">
        <v>384</v>
      </c>
      <c r="C19" s="66" t="s">
        <v>5817</v>
      </c>
      <c r="D19" s="67">
        <v>1</v>
      </c>
      <c r="E19" s="68" t="s">
        <v>132</v>
      </c>
      <c r="F19" s="69">
        <v>32</v>
      </c>
      <c r="G19" s="66" t="s">
        <v>51</v>
      </c>
      <c r="H19" s="70"/>
      <c r="I19" s="71"/>
      <c r="J19" s="71"/>
      <c r="K19" s="35" t="s">
        <v>65</v>
      </c>
      <c r="L19" s="79">
        <v>19</v>
      </c>
      <c r="M19" s="79"/>
      <c r="N19" s="73"/>
      <c r="O19" s="90" t="s">
        <v>524</v>
      </c>
      <c r="P19" s="93">
        <v>44526.5077662037</v>
      </c>
      <c r="Q19" s="90" t="s">
        <v>533</v>
      </c>
      <c r="R19" s="90"/>
      <c r="S19" s="90"/>
      <c r="T19" s="90"/>
      <c r="U19" s="90"/>
      <c r="V19" s="96" t="str">
        <f>HYPERLINK("https://pbs.twimg.com/profile_images/1457806319017136140/kj6vcSDW_normal.jpg")</f>
        <v>https://pbs.twimg.com/profile_images/1457806319017136140/kj6vcSDW_normal.jpg</v>
      </c>
      <c r="W19" s="93">
        <v>44526.5077662037</v>
      </c>
      <c r="X19" s="100">
        <v>44526</v>
      </c>
      <c r="Y19" s="97" t="s">
        <v>728</v>
      </c>
      <c r="Z19" s="96" t="str">
        <f>HYPERLINK("https://twitter.com/miaumaumiu/status/1464205088965246979")</f>
        <v>https://twitter.com/miaumaumiu/status/1464205088965246979</v>
      </c>
      <c r="AA19" s="90"/>
      <c r="AB19" s="90"/>
      <c r="AC19" s="97" t="s">
        <v>980</v>
      </c>
      <c r="AD19" s="97" t="s">
        <v>1225</v>
      </c>
      <c r="AE19" s="90" t="b">
        <v>0</v>
      </c>
      <c r="AF19" s="90">
        <v>4</v>
      </c>
      <c r="AG19" s="97" t="s">
        <v>1342</v>
      </c>
      <c r="AH19" s="90" t="b">
        <v>0</v>
      </c>
      <c r="AI19" s="90" t="s">
        <v>1442</v>
      </c>
      <c r="AJ19" s="90"/>
      <c r="AK19" s="97" t="s">
        <v>1338</v>
      </c>
      <c r="AL19" s="90" t="b">
        <v>0</v>
      </c>
      <c r="AM19" s="90">
        <v>0</v>
      </c>
      <c r="AN19" s="97" t="s">
        <v>1338</v>
      </c>
      <c r="AO19" s="97" t="s">
        <v>1450</v>
      </c>
      <c r="AP19" s="90" t="b">
        <v>0</v>
      </c>
      <c r="AQ19" s="97" t="s">
        <v>1225</v>
      </c>
      <c r="AR19" s="90" t="s">
        <v>187</v>
      </c>
      <c r="AS19" s="90">
        <v>0</v>
      </c>
      <c r="AT19" s="90">
        <v>0</v>
      </c>
      <c r="AU19" s="90"/>
      <c r="AV19" s="90"/>
      <c r="AW19" s="90"/>
      <c r="AX19" s="90"/>
      <c r="AY19" s="90"/>
      <c r="AZ19" s="90"/>
      <c r="BA19" s="90"/>
      <c r="BB19" s="90"/>
      <c r="BC19">
        <v>1</v>
      </c>
      <c r="BD19" s="89" t="str">
        <f>REPLACE(INDEX(GroupVertices[Group],MATCH(Edges[[#This Row],[Vertex 1]],GroupVertices[Vertex],0)),1,1,"")</f>
        <v>6</v>
      </c>
      <c r="BE19" s="89" t="str">
        <f>REPLACE(INDEX(GroupVertices[Group],MATCH(Edges[[#This Row],[Vertex 2]],GroupVertices[Vertex],0)),1,1,"")</f>
        <v>6</v>
      </c>
      <c r="BF19" s="49"/>
      <c r="BG19" s="50"/>
      <c r="BH19" s="49"/>
      <c r="BI19" s="50"/>
      <c r="BJ19" s="49"/>
      <c r="BK19" s="50"/>
      <c r="BL19" s="49"/>
      <c r="BM19" s="50"/>
      <c r="BN19" s="49"/>
    </row>
    <row r="20" spans="1:66" ht="15">
      <c r="A20" s="65" t="s">
        <v>235</v>
      </c>
      <c r="B20" s="65" t="s">
        <v>385</v>
      </c>
      <c r="C20" s="66" t="s">
        <v>5817</v>
      </c>
      <c r="D20" s="67">
        <v>1</v>
      </c>
      <c r="E20" s="68" t="s">
        <v>132</v>
      </c>
      <c r="F20" s="69">
        <v>32</v>
      </c>
      <c r="G20" s="66" t="s">
        <v>51</v>
      </c>
      <c r="H20" s="70"/>
      <c r="I20" s="71"/>
      <c r="J20" s="71"/>
      <c r="K20" s="35" t="s">
        <v>65</v>
      </c>
      <c r="L20" s="79">
        <v>20</v>
      </c>
      <c r="M20" s="79"/>
      <c r="N20" s="73"/>
      <c r="O20" s="90" t="s">
        <v>523</v>
      </c>
      <c r="P20" s="93">
        <v>44526.5077662037</v>
      </c>
      <c r="Q20" s="90" t="s">
        <v>533</v>
      </c>
      <c r="R20" s="90"/>
      <c r="S20" s="90"/>
      <c r="T20" s="90"/>
      <c r="U20" s="90"/>
      <c r="V20" s="96" t="str">
        <f>HYPERLINK("https://pbs.twimg.com/profile_images/1457806319017136140/kj6vcSDW_normal.jpg")</f>
        <v>https://pbs.twimg.com/profile_images/1457806319017136140/kj6vcSDW_normal.jpg</v>
      </c>
      <c r="W20" s="93">
        <v>44526.5077662037</v>
      </c>
      <c r="X20" s="100">
        <v>44526</v>
      </c>
      <c r="Y20" s="97" t="s">
        <v>728</v>
      </c>
      <c r="Z20" s="96" t="str">
        <f>HYPERLINK("https://twitter.com/miaumaumiu/status/1464205088965246979")</f>
        <v>https://twitter.com/miaumaumiu/status/1464205088965246979</v>
      </c>
      <c r="AA20" s="90"/>
      <c r="AB20" s="90"/>
      <c r="AC20" s="97" t="s">
        <v>980</v>
      </c>
      <c r="AD20" s="97" t="s">
        <v>1225</v>
      </c>
      <c r="AE20" s="90" t="b">
        <v>0</v>
      </c>
      <c r="AF20" s="90">
        <v>4</v>
      </c>
      <c r="AG20" s="97" t="s">
        <v>1342</v>
      </c>
      <c r="AH20" s="90" t="b">
        <v>0</v>
      </c>
      <c r="AI20" s="90" t="s">
        <v>1442</v>
      </c>
      <c r="AJ20" s="90"/>
      <c r="AK20" s="97" t="s">
        <v>1338</v>
      </c>
      <c r="AL20" s="90" t="b">
        <v>0</v>
      </c>
      <c r="AM20" s="90">
        <v>0</v>
      </c>
      <c r="AN20" s="97" t="s">
        <v>1338</v>
      </c>
      <c r="AO20" s="97" t="s">
        <v>1450</v>
      </c>
      <c r="AP20" s="90" t="b">
        <v>0</v>
      </c>
      <c r="AQ20" s="97" t="s">
        <v>1225</v>
      </c>
      <c r="AR20" s="90" t="s">
        <v>187</v>
      </c>
      <c r="AS20" s="90">
        <v>0</v>
      </c>
      <c r="AT20" s="90">
        <v>0</v>
      </c>
      <c r="AU20" s="90"/>
      <c r="AV20" s="90"/>
      <c r="AW20" s="90"/>
      <c r="AX20" s="90"/>
      <c r="AY20" s="90"/>
      <c r="AZ20" s="90"/>
      <c r="BA20" s="90"/>
      <c r="BB20" s="90"/>
      <c r="BC20">
        <v>1</v>
      </c>
      <c r="BD20" s="89" t="str">
        <f>REPLACE(INDEX(GroupVertices[Group],MATCH(Edges[[#This Row],[Vertex 1]],GroupVertices[Vertex],0)),1,1,"")</f>
        <v>6</v>
      </c>
      <c r="BE20" s="89" t="str">
        <f>REPLACE(INDEX(GroupVertices[Group],MATCH(Edges[[#This Row],[Vertex 2]],GroupVertices[Vertex],0)),1,1,"")</f>
        <v>6</v>
      </c>
      <c r="BF20" s="49">
        <v>0</v>
      </c>
      <c r="BG20" s="50">
        <v>0</v>
      </c>
      <c r="BH20" s="49">
        <v>0</v>
      </c>
      <c r="BI20" s="50">
        <v>0</v>
      </c>
      <c r="BJ20" s="49">
        <v>0</v>
      </c>
      <c r="BK20" s="50">
        <v>0</v>
      </c>
      <c r="BL20" s="49">
        <v>18</v>
      </c>
      <c r="BM20" s="50">
        <v>100</v>
      </c>
      <c r="BN20" s="49">
        <v>18</v>
      </c>
    </row>
    <row r="21" spans="1:66" ht="15">
      <c r="A21" s="65" t="s">
        <v>236</v>
      </c>
      <c r="B21" s="65" t="s">
        <v>386</v>
      </c>
      <c r="C21" s="66" t="s">
        <v>5817</v>
      </c>
      <c r="D21" s="67">
        <v>1</v>
      </c>
      <c r="E21" s="68" t="s">
        <v>132</v>
      </c>
      <c r="F21" s="69">
        <v>32</v>
      </c>
      <c r="G21" s="66" t="s">
        <v>51</v>
      </c>
      <c r="H21" s="70"/>
      <c r="I21" s="71"/>
      <c r="J21" s="71"/>
      <c r="K21" s="35" t="s">
        <v>65</v>
      </c>
      <c r="L21" s="79">
        <v>21</v>
      </c>
      <c r="M21" s="79"/>
      <c r="N21" s="73"/>
      <c r="O21" s="90" t="s">
        <v>525</v>
      </c>
      <c r="P21" s="93">
        <v>44526.59972222222</v>
      </c>
      <c r="Q21" s="90" t="s">
        <v>534</v>
      </c>
      <c r="R21" s="90"/>
      <c r="S21" s="90"/>
      <c r="T21" s="90"/>
      <c r="U21" s="96" t="str">
        <f>HYPERLINK("https://pbs.twimg.com/media/FFID_PSX0AoJlZb.png")</f>
        <v>https://pbs.twimg.com/media/FFID_PSX0AoJlZb.png</v>
      </c>
      <c r="V21" s="96" t="str">
        <f>HYPERLINK("https://pbs.twimg.com/media/FFID_PSX0AoJlZb.png")</f>
        <v>https://pbs.twimg.com/media/FFID_PSX0AoJlZb.png</v>
      </c>
      <c r="W21" s="93">
        <v>44526.59972222222</v>
      </c>
      <c r="X21" s="100">
        <v>44526</v>
      </c>
      <c r="Y21" s="97" t="s">
        <v>729</v>
      </c>
      <c r="Z21" s="96" t="str">
        <f>HYPERLINK("https://twitter.com/tomz0r/status/1464238410835668994")</f>
        <v>https://twitter.com/tomz0r/status/1464238410835668994</v>
      </c>
      <c r="AA21" s="90"/>
      <c r="AB21" s="90"/>
      <c r="AC21" s="97" t="s">
        <v>981</v>
      </c>
      <c r="AD21" s="90"/>
      <c r="AE21" s="90" t="b">
        <v>0</v>
      </c>
      <c r="AF21" s="90">
        <v>0</v>
      </c>
      <c r="AG21" s="97" t="s">
        <v>1338</v>
      </c>
      <c r="AH21" s="90" t="b">
        <v>0</v>
      </c>
      <c r="AI21" s="90" t="s">
        <v>1442</v>
      </c>
      <c r="AJ21" s="90"/>
      <c r="AK21" s="97" t="s">
        <v>1338</v>
      </c>
      <c r="AL21" s="90" t="b">
        <v>0</v>
      </c>
      <c r="AM21" s="90">
        <v>2</v>
      </c>
      <c r="AN21" s="97" t="s">
        <v>1120</v>
      </c>
      <c r="AO21" s="97" t="s">
        <v>1452</v>
      </c>
      <c r="AP21" s="90" t="b">
        <v>0</v>
      </c>
      <c r="AQ21" s="97" t="s">
        <v>1120</v>
      </c>
      <c r="AR21" s="90" t="s">
        <v>187</v>
      </c>
      <c r="AS21" s="90">
        <v>0</v>
      </c>
      <c r="AT21" s="90">
        <v>0</v>
      </c>
      <c r="AU21" s="90"/>
      <c r="AV21" s="90"/>
      <c r="AW21" s="90"/>
      <c r="AX21" s="90"/>
      <c r="AY21" s="90"/>
      <c r="AZ21" s="90"/>
      <c r="BA21" s="90"/>
      <c r="BB21" s="90"/>
      <c r="BC21">
        <v>1</v>
      </c>
      <c r="BD21" s="89" t="str">
        <f>REPLACE(INDEX(GroupVertices[Group],MATCH(Edges[[#This Row],[Vertex 1]],GroupVertices[Vertex],0)),1,1,"")</f>
        <v>10</v>
      </c>
      <c r="BE21" s="89" t="str">
        <f>REPLACE(INDEX(GroupVertices[Group],MATCH(Edges[[#This Row],[Vertex 2]],GroupVertices[Vertex],0)),1,1,"")</f>
        <v>10</v>
      </c>
      <c r="BF21" s="49"/>
      <c r="BG21" s="50"/>
      <c r="BH21" s="49"/>
      <c r="BI21" s="50"/>
      <c r="BJ21" s="49"/>
      <c r="BK21" s="50"/>
      <c r="BL21" s="49"/>
      <c r="BM21" s="50"/>
      <c r="BN21" s="49"/>
    </row>
    <row r="22" spans="1:66" ht="15">
      <c r="A22" s="65" t="s">
        <v>236</v>
      </c>
      <c r="B22" s="65" t="s">
        <v>331</v>
      </c>
      <c r="C22" s="66" t="s">
        <v>5817</v>
      </c>
      <c r="D22" s="67">
        <v>1</v>
      </c>
      <c r="E22" s="68" t="s">
        <v>132</v>
      </c>
      <c r="F22" s="69">
        <v>32</v>
      </c>
      <c r="G22" s="66" t="s">
        <v>51</v>
      </c>
      <c r="H22" s="70"/>
      <c r="I22" s="71"/>
      <c r="J22" s="71"/>
      <c r="K22" s="35" t="s">
        <v>65</v>
      </c>
      <c r="L22" s="79">
        <v>22</v>
      </c>
      <c r="M22" s="79"/>
      <c r="N22" s="73"/>
      <c r="O22" s="90" t="s">
        <v>522</v>
      </c>
      <c r="P22" s="93">
        <v>44526.59972222222</v>
      </c>
      <c r="Q22" s="90" t="s">
        <v>534</v>
      </c>
      <c r="R22" s="90"/>
      <c r="S22" s="90"/>
      <c r="T22" s="90"/>
      <c r="U22" s="96" t="str">
        <f>HYPERLINK("https://pbs.twimg.com/media/FFID_PSX0AoJlZb.png")</f>
        <v>https://pbs.twimg.com/media/FFID_PSX0AoJlZb.png</v>
      </c>
      <c r="V22" s="96" t="str">
        <f>HYPERLINK("https://pbs.twimg.com/media/FFID_PSX0AoJlZb.png")</f>
        <v>https://pbs.twimg.com/media/FFID_PSX0AoJlZb.png</v>
      </c>
      <c r="W22" s="93">
        <v>44526.59972222222</v>
      </c>
      <c r="X22" s="100">
        <v>44526</v>
      </c>
      <c r="Y22" s="97" t="s">
        <v>729</v>
      </c>
      <c r="Z22" s="96" t="str">
        <f>HYPERLINK("https://twitter.com/tomz0r/status/1464238410835668994")</f>
        <v>https://twitter.com/tomz0r/status/1464238410835668994</v>
      </c>
      <c r="AA22" s="90"/>
      <c r="AB22" s="90"/>
      <c r="AC22" s="97" t="s">
        <v>981</v>
      </c>
      <c r="AD22" s="90"/>
      <c r="AE22" s="90" t="b">
        <v>0</v>
      </c>
      <c r="AF22" s="90">
        <v>0</v>
      </c>
      <c r="AG22" s="97" t="s">
        <v>1338</v>
      </c>
      <c r="AH22" s="90" t="b">
        <v>0</v>
      </c>
      <c r="AI22" s="90" t="s">
        <v>1442</v>
      </c>
      <c r="AJ22" s="90"/>
      <c r="AK22" s="97" t="s">
        <v>1338</v>
      </c>
      <c r="AL22" s="90" t="b">
        <v>0</v>
      </c>
      <c r="AM22" s="90">
        <v>2</v>
      </c>
      <c r="AN22" s="97" t="s">
        <v>1120</v>
      </c>
      <c r="AO22" s="97" t="s">
        <v>1452</v>
      </c>
      <c r="AP22" s="90" t="b">
        <v>0</v>
      </c>
      <c r="AQ22" s="97" t="s">
        <v>1120</v>
      </c>
      <c r="AR22" s="90" t="s">
        <v>187</v>
      </c>
      <c r="AS22" s="90">
        <v>0</v>
      </c>
      <c r="AT22" s="90">
        <v>0</v>
      </c>
      <c r="AU22" s="90"/>
      <c r="AV22" s="90"/>
      <c r="AW22" s="90"/>
      <c r="AX22" s="90"/>
      <c r="AY22" s="90"/>
      <c r="AZ22" s="90"/>
      <c r="BA22" s="90"/>
      <c r="BB22" s="90"/>
      <c r="BC22">
        <v>1</v>
      </c>
      <c r="BD22" s="89" t="str">
        <f>REPLACE(INDEX(GroupVertices[Group],MATCH(Edges[[#This Row],[Vertex 1]],GroupVertices[Vertex],0)),1,1,"")</f>
        <v>10</v>
      </c>
      <c r="BE22" s="89" t="str">
        <f>REPLACE(INDEX(GroupVertices[Group],MATCH(Edges[[#This Row],[Vertex 2]],GroupVertices[Vertex],0)),1,1,"")</f>
        <v>10</v>
      </c>
      <c r="BF22" s="49">
        <v>0</v>
      </c>
      <c r="BG22" s="50">
        <v>0</v>
      </c>
      <c r="BH22" s="49">
        <v>0</v>
      </c>
      <c r="BI22" s="50">
        <v>0</v>
      </c>
      <c r="BJ22" s="49">
        <v>0</v>
      </c>
      <c r="BK22" s="50">
        <v>0</v>
      </c>
      <c r="BL22" s="49">
        <v>30</v>
      </c>
      <c r="BM22" s="50">
        <v>100</v>
      </c>
      <c r="BN22" s="49">
        <v>30</v>
      </c>
    </row>
    <row r="23" spans="1:66" ht="15">
      <c r="A23" s="65" t="s">
        <v>237</v>
      </c>
      <c r="B23" s="65" t="s">
        <v>386</v>
      </c>
      <c r="C23" s="66" t="s">
        <v>5817</v>
      </c>
      <c r="D23" s="67">
        <v>1</v>
      </c>
      <c r="E23" s="68" t="s">
        <v>132</v>
      </c>
      <c r="F23" s="69">
        <v>32</v>
      </c>
      <c r="G23" s="66" t="s">
        <v>51</v>
      </c>
      <c r="H23" s="70"/>
      <c r="I23" s="71"/>
      <c r="J23" s="71"/>
      <c r="K23" s="35" t="s">
        <v>65</v>
      </c>
      <c r="L23" s="79">
        <v>23</v>
      </c>
      <c r="M23" s="79"/>
      <c r="N23" s="73"/>
      <c r="O23" s="90" t="s">
        <v>525</v>
      </c>
      <c r="P23" s="93">
        <v>44526.60068287037</v>
      </c>
      <c r="Q23" s="90" t="s">
        <v>534</v>
      </c>
      <c r="R23" s="90"/>
      <c r="S23" s="90"/>
      <c r="T23" s="90"/>
      <c r="U23" s="96" t="str">
        <f>HYPERLINK("https://pbs.twimg.com/media/FFID_PSX0AoJlZb.png")</f>
        <v>https://pbs.twimg.com/media/FFID_PSX0AoJlZb.png</v>
      </c>
      <c r="V23" s="96" t="str">
        <f>HYPERLINK("https://pbs.twimg.com/media/FFID_PSX0AoJlZb.png")</f>
        <v>https://pbs.twimg.com/media/FFID_PSX0AoJlZb.png</v>
      </c>
      <c r="W23" s="93">
        <v>44526.60068287037</v>
      </c>
      <c r="X23" s="100">
        <v>44526</v>
      </c>
      <c r="Y23" s="97" t="s">
        <v>730</v>
      </c>
      <c r="Z23" s="96" t="str">
        <f>HYPERLINK("https://twitter.com/neongho96790876/status/1464238760082747395")</f>
        <v>https://twitter.com/neongho96790876/status/1464238760082747395</v>
      </c>
      <c r="AA23" s="90"/>
      <c r="AB23" s="90"/>
      <c r="AC23" s="97" t="s">
        <v>982</v>
      </c>
      <c r="AD23" s="90"/>
      <c r="AE23" s="90" t="b">
        <v>0</v>
      </c>
      <c r="AF23" s="90">
        <v>0</v>
      </c>
      <c r="AG23" s="97" t="s">
        <v>1338</v>
      </c>
      <c r="AH23" s="90" t="b">
        <v>0</v>
      </c>
      <c r="AI23" s="90" t="s">
        <v>1442</v>
      </c>
      <c r="AJ23" s="90"/>
      <c r="AK23" s="97" t="s">
        <v>1338</v>
      </c>
      <c r="AL23" s="90" t="b">
        <v>0</v>
      </c>
      <c r="AM23" s="90">
        <v>2</v>
      </c>
      <c r="AN23" s="97" t="s">
        <v>1120</v>
      </c>
      <c r="AO23" s="97" t="s">
        <v>1452</v>
      </c>
      <c r="AP23" s="90" t="b">
        <v>0</v>
      </c>
      <c r="AQ23" s="97" t="s">
        <v>1120</v>
      </c>
      <c r="AR23" s="90" t="s">
        <v>187</v>
      </c>
      <c r="AS23" s="90">
        <v>0</v>
      </c>
      <c r="AT23" s="90">
        <v>0</v>
      </c>
      <c r="AU23" s="90"/>
      <c r="AV23" s="90"/>
      <c r="AW23" s="90"/>
      <c r="AX23" s="90"/>
      <c r="AY23" s="90"/>
      <c r="AZ23" s="90"/>
      <c r="BA23" s="90"/>
      <c r="BB23" s="90"/>
      <c r="BC23">
        <v>1</v>
      </c>
      <c r="BD23" s="89" t="str">
        <f>REPLACE(INDEX(GroupVertices[Group],MATCH(Edges[[#This Row],[Vertex 1]],GroupVertices[Vertex],0)),1,1,"")</f>
        <v>10</v>
      </c>
      <c r="BE23" s="89" t="str">
        <f>REPLACE(INDEX(GroupVertices[Group],MATCH(Edges[[#This Row],[Vertex 2]],GroupVertices[Vertex],0)),1,1,"")</f>
        <v>10</v>
      </c>
      <c r="BF23" s="49"/>
      <c r="BG23" s="50"/>
      <c r="BH23" s="49"/>
      <c r="BI23" s="50"/>
      <c r="BJ23" s="49"/>
      <c r="BK23" s="50"/>
      <c r="BL23" s="49"/>
      <c r="BM23" s="50"/>
      <c r="BN23" s="49"/>
    </row>
    <row r="24" spans="1:66" ht="15">
      <c r="A24" s="65" t="s">
        <v>237</v>
      </c>
      <c r="B24" s="65" t="s">
        <v>331</v>
      </c>
      <c r="C24" s="66" t="s">
        <v>5817</v>
      </c>
      <c r="D24" s="67">
        <v>1</v>
      </c>
      <c r="E24" s="68" t="s">
        <v>132</v>
      </c>
      <c r="F24" s="69">
        <v>32</v>
      </c>
      <c r="G24" s="66" t="s">
        <v>51</v>
      </c>
      <c r="H24" s="70"/>
      <c r="I24" s="71"/>
      <c r="J24" s="71"/>
      <c r="K24" s="35" t="s">
        <v>65</v>
      </c>
      <c r="L24" s="79">
        <v>24</v>
      </c>
      <c r="M24" s="79"/>
      <c r="N24" s="73"/>
      <c r="O24" s="90" t="s">
        <v>522</v>
      </c>
      <c r="P24" s="93">
        <v>44526.60068287037</v>
      </c>
      <c r="Q24" s="90" t="s">
        <v>534</v>
      </c>
      <c r="R24" s="90"/>
      <c r="S24" s="90"/>
      <c r="T24" s="90"/>
      <c r="U24" s="96" t="str">
        <f>HYPERLINK("https://pbs.twimg.com/media/FFID_PSX0AoJlZb.png")</f>
        <v>https://pbs.twimg.com/media/FFID_PSX0AoJlZb.png</v>
      </c>
      <c r="V24" s="96" t="str">
        <f>HYPERLINK("https://pbs.twimg.com/media/FFID_PSX0AoJlZb.png")</f>
        <v>https://pbs.twimg.com/media/FFID_PSX0AoJlZb.png</v>
      </c>
      <c r="W24" s="93">
        <v>44526.60068287037</v>
      </c>
      <c r="X24" s="100">
        <v>44526</v>
      </c>
      <c r="Y24" s="97" t="s">
        <v>730</v>
      </c>
      <c r="Z24" s="96" t="str">
        <f>HYPERLINK("https://twitter.com/neongho96790876/status/1464238760082747395")</f>
        <v>https://twitter.com/neongho96790876/status/1464238760082747395</v>
      </c>
      <c r="AA24" s="90"/>
      <c r="AB24" s="90"/>
      <c r="AC24" s="97" t="s">
        <v>982</v>
      </c>
      <c r="AD24" s="90"/>
      <c r="AE24" s="90" t="b">
        <v>0</v>
      </c>
      <c r="AF24" s="90">
        <v>0</v>
      </c>
      <c r="AG24" s="97" t="s">
        <v>1338</v>
      </c>
      <c r="AH24" s="90" t="b">
        <v>0</v>
      </c>
      <c r="AI24" s="90" t="s">
        <v>1442</v>
      </c>
      <c r="AJ24" s="90"/>
      <c r="AK24" s="97" t="s">
        <v>1338</v>
      </c>
      <c r="AL24" s="90" t="b">
        <v>0</v>
      </c>
      <c r="AM24" s="90">
        <v>2</v>
      </c>
      <c r="AN24" s="97" t="s">
        <v>1120</v>
      </c>
      <c r="AO24" s="97" t="s">
        <v>1452</v>
      </c>
      <c r="AP24" s="90" t="b">
        <v>0</v>
      </c>
      <c r="AQ24" s="97" t="s">
        <v>1120</v>
      </c>
      <c r="AR24" s="90" t="s">
        <v>187</v>
      </c>
      <c r="AS24" s="90">
        <v>0</v>
      </c>
      <c r="AT24" s="90">
        <v>0</v>
      </c>
      <c r="AU24" s="90"/>
      <c r="AV24" s="90"/>
      <c r="AW24" s="90"/>
      <c r="AX24" s="90"/>
      <c r="AY24" s="90"/>
      <c r="AZ24" s="90"/>
      <c r="BA24" s="90"/>
      <c r="BB24" s="90"/>
      <c r="BC24">
        <v>1</v>
      </c>
      <c r="BD24" s="89" t="str">
        <f>REPLACE(INDEX(GroupVertices[Group],MATCH(Edges[[#This Row],[Vertex 1]],GroupVertices[Vertex],0)),1,1,"")</f>
        <v>10</v>
      </c>
      <c r="BE24" s="89" t="str">
        <f>REPLACE(INDEX(GroupVertices[Group],MATCH(Edges[[#This Row],[Vertex 2]],GroupVertices[Vertex],0)),1,1,"")</f>
        <v>10</v>
      </c>
      <c r="BF24" s="49">
        <v>0</v>
      </c>
      <c r="BG24" s="50">
        <v>0</v>
      </c>
      <c r="BH24" s="49">
        <v>0</v>
      </c>
      <c r="BI24" s="50">
        <v>0</v>
      </c>
      <c r="BJ24" s="49">
        <v>0</v>
      </c>
      <c r="BK24" s="50">
        <v>0</v>
      </c>
      <c r="BL24" s="49">
        <v>30</v>
      </c>
      <c r="BM24" s="50">
        <v>100</v>
      </c>
      <c r="BN24" s="49">
        <v>30</v>
      </c>
    </row>
    <row r="25" spans="1:66" ht="15">
      <c r="A25" s="65" t="s">
        <v>238</v>
      </c>
      <c r="B25" s="65" t="s">
        <v>387</v>
      </c>
      <c r="C25" s="66" t="s">
        <v>5817</v>
      </c>
      <c r="D25" s="67">
        <v>1</v>
      </c>
      <c r="E25" s="68" t="s">
        <v>132</v>
      </c>
      <c r="F25" s="69">
        <v>32</v>
      </c>
      <c r="G25" s="66" t="s">
        <v>51</v>
      </c>
      <c r="H25" s="70"/>
      <c r="I25" s="71"/>
      <c r="J25" s="71"/>
      <c r="K25" s="35" t="s">
        <v>65</v>
      </c>
      <c r="L25" s="79">
        <v>25</v>
      </c>
      <c r="M25" s="79"/>
      <c r="N25" s="73"/>
      <c r="O25" s="90" t="s">
        <v>524</v>
      </c>
      <c r="P25" s="93">
        <v>44526.83877314815</v>
      </c>
      <c r="Q25" s="90" t="s">
        <v>535</v>
      </c>
      <c r="R25" s="90"/>
      <c r="S25" s="90"/>
      <c r="T25" s="90"/>
      <c r="U25" s="90"/>
      <c r="V25" s="96" t="str">
        <f>HYPERLINK("https://pbs.twimg.com/profile_images/1450389213141159937/3JvJiY72_normal.jpg")</f>
        <v>https://pbs.twimg.com/profile_images/1450389213141159937/3JvJiY72_normal.jpg</v>
      </c>
      <c r="W25" s="93">
        <v>44526.83877314815</v>
      </c>
      <c r="X25" s="100">
        <v>44526</v>
      </c>
      <c r="Y25" s="97" t="s">
        <v>731</v>
      </c>
      <c r="Z25" s="96" t="str">
        <f>HYPERLINK("https://twitter.com/_naturisti/status/1464325039910793218")</f>
        <v>https://twitter.com/_naturisti/status/1464325039910793218</v>
      </c>
      <c r="AA25" s="90"/>
      <c r="AB25" s="90"/>
      <c r="AC25" s="97" t="s">
        <v>983</v>
      </c>
      <c r="AD25" s="97" t="s">
        <v>1226</v>
      </c>
      <c r="AE25" s="90" t="b">
        <v>0</v>
      </c>
      <c r="AF25" s="90">
        <v>17</v>
      </c>
      <c r="AG25" s="97" t="s">
        <v>1343</v>
      </c>
      <c r="AH25" s="90" t="b">
        <v>0</v>
      </c>
      <c r="AI25" s="90" t="s">
        <v>1442</v>
      </c>
      <c r="AJ25" s="90"/>
      <c r="AK25" s="97" t="s">
        <v>1338</v>
      </c>
      <c r="AL25" s="90" t="b">
        <v>0</v>
      </c>
      <c r="AM25" s="90">
        <v>0</v>
      </c>
      <c r="AN25" s="97" t="s">
        <v>1338</v>
      </c>
      <c r="AO25" s="97" t="s">
        <v>1452</v>
      </c>
      <c r="AP25" s="90" t="b">
        <v>0</v>
      </c>
      <c r="AQ25" s="97" t="s">
        <v>1226</v>
      </c>
      <c r="AR25" s="90" t="s">
        <v>187</v>
      </c>
      <c r="AS25" s="90">
        <v>0</v>
      </c>
      <c r="AT25" s="90">
        <v>0</v>
      </c>
      <c r="AU25" s="90"/>
      <c r="AV25" s="90"/>
      <c r="AW25" s="90"/>
      <c r="AX25" s="90"/>
      <c r="AY25" s="90"/>
      <c r="AZ25" s="90"/>
      <c r="BA25" s="90"/>
      <c r="BB25" s="90"/>
      <c r="BC25">
        <v>1</v>
      </c>
      <c r="BD25" s="89" t="str">
        <f>REPLACE(INDEX(GroupVertices[Group],MATCH(Edges[[#This Row],[Vertex 1]],GroupVertices[Vertex],0)),1,1,"")</f>
        <v>7</v>
      </c>
      <c r="BE25" s="89" t="str">
        <f>REPLACE(INDEX(GroupVertices[Group],MATCH(Edges[[#This Row],[Vertex 2]],GroupVertices[Vertex],0)),1,1,"")</f>
        <v>7</v>
      </c>
      <c r="BF25" s="49"/>
      <c r="BG25" s="50"/>
      <c r="BH25" s="49"/>
      <c r="BI25" s="50"/>
      <c r="BJ25" s="49"/>
      <c r="BK25" s="50"/>
      <c r="BL25" s="49"/>
      <c r="BM25" s="50"/>
      <c r="BN25" s="49"/>
    </row>
    <row r="26" spans="1:66" ht="15">
      <c r="A26" s="65" t="s">
        <v>238</v>
      </c>
      <c r="B26" s="65" t="s">
        <v>388</v>
      </c>
      <c r="C26" s="66" t="s">
        <v>5817</v>
      </c>
      <c r="D26" s="67">
        <v>1</v>
      </c>
      <c r="E26" s="68" t="s">
        <v>132</v>
      </c>
      <c r="F26" s="69">
        <v>32</v>
      </c>
      <c r="G26" s="66" t="s">
        <v>51</v>
      </c>
      <c r="H26" s="70"/>
      <c r="I26" s="71"/>
      <c r="J26" s="71"/>
      <c r="K26" s="35" t="s">
        <v>65</v>
      </c>
      <c r="L26" s="79">
        <v>26</v>
      </c>
      <c r="M26" s="79"/>
      <c r="N26" s="73"/>
      <c r="O26" s="90" t="s">
        <v>524</v>
      </c>
      <c r="P26" s="93">
        <v>44526.83877314815</v>
      </c>
      <c r="Q26" s="90" t="s">
        <v>535</v>
      </c>
      <c r="R26" s="90"/>
      <c r="S26" s="90"/>
      <c r="T26" s="90"/>
      <c r="U26" s="90"/>
      <c r="V26" s="96" t="str">
        <f>HYPERLINK("https://pbs.twimg.com/profile_images/1450389213141159937/3JvJiY72_normal.jpg")</f>
        <v>https://pbs.twimg.com/profile_images/1450389213141159937/3JvJiY72_normal.jpg</v>
      </c>
      <c r="W26" s="93">
        <v>44526.83877314815</v>
      </c>
      <c r="X26" s="100">
        <v>44526</v>
      </c>
      <c r="Y26" s="97" t="s">
        <v>731</v>
      </c>
      <c r="Z26" s="96" t="str">
        <f>HYPERLINK("https://twitter.com/_naturisti/status/1464325039910793218")</f>
        <v>https://twitter.com/_naturisti/status/1464325039910793218</v>
      </c>
      <c r="AA26" s="90"/>
      <c r="AB26" s="90"/>
      <c r="AC26" s="97" t="s">
        <v>983</v>
      </c>
      <c r="AD26" s="97" t="s">
        <v>1226</v>
      </c>
      <c r="AE26" s="90" t="b">
        <v>0</v>
      </c>
      <c r="AF26" s="90">
        <v>17</v>
      </c>
      <c r="AG26" s="97" t="s">
        <v>1343</v>
      </c>
      <c r="AH26" s="90" t="b">
        <v>0</v>
      </c>
      <c r="AI26" s="90" t="s">
        <v>1442</v>
      </c>
      <c r="AJ26" s="90"/>
      <c r="AK26" s="97" t="s">
        <v>1338</v>
      </c>
      <c r="AL26" s="90" t="b">
        <v>0</v>
      </c>
      <c r="AM26" s="90">
        <v>0</v>
      </c>
      <c r="AN26" s="97" t="s">
        <v>1338</v>
      </c>
      <c r="AO26" s="97" t="s">
        <v>1452</v>
      </c>
      <c r="AP26" s="90" t="b">
        <v>0</v>
      </c>
      <c r="AQ26" s="97" t="s">
        <v>1226</v>
      </c>
      <c r="AR26" s="90" t="s">
        <v>187</v>
      </c>
      <c r="AS26" s="90">
        <v>0</v>
      </c>
      <c r="AT26" s="90">
        <v>0</v>
      </c>
      <c r="AU26" s="90"/>
      <c r="AV26" s="90"/>
      <c r="AW26" s="90"/>
      <c r="AX26" s="90"/>
      <c r="AY26" s="90"/>
      <c r="AZ26" s="90"/>
      <c r="BA26" s="90"/>
      <c r="BB26" s="90"/>
      <c r="BC26">
        <v>1</v>
      </c>
      <c r="BD26" s="89" t="str">
        <f>REPLACE(INDEX(GroupVertices[Group],MATCH(Edges[[#This Row],[Vertex 1]],GroupVertices[Vertex],0)),1,1,"")</f>
        <v>7</v>
      </c>
      <c r="BE26" s="89" t="str">
        <f>REPLACE(INDEX(GroupVertices[Group],MATCH(Edges[[#This Row],[Vertex 2]],GroupVertices[Vertex],0)),1,1,"")</f>
        <v>7</v>
      </c>
      <c r="BF26" s="49"/>
      <c r="BG26" s="50"/>
      <c r="BH26" s="49"/>
      <c r="BI26" s="50"/>
      <c r="BJ26" s="49"/>
      <c r="BK26" s="50"/>
      <c r="BL26" s="49"/>
      <c r="BM26" s="50"/>
      <c r="BN26" s="49"/>
    </row>
    <row r="27" spans="1:66" ht="15">
      <c r="A27" s="65" t="s">
        <v>238</v>
      </c>
      <c r="B27" s="65" t="s">
        <v>389</v>
      </c>
      <c r="C27" s="66" t="s">
        <v>5817</v>
      </c>
      <c r="D27" s="67">
        <v>1</v>
      </c>
      <c r="E27" s="68" t="s">
        <v>132</v>
      </c>
      <c r="F27" s="69">
        <v>32</v>
      </c>
      <c r="G27" s="66" t="s">
        <v>51</v>
      </c>
      <c r="H27" s="70"/>
      <c r="I27" s="71"/>
      <c r="J27" s="71"/>
      <c r="K27" s="35" t="s">
        <v>65</v>
      </c>
      <c r="L27" s="79">
        <v>27</v>
      </c>
      <c r="M27" s="79"/>
      <c r="N27" s="73"/>
      <c r="O27" s="90" t="s">
        <v>524</v>
      </c>
      <c r="P27" s="93">
        <v>44526.83877314815</v>
      </c>
      <c r="Q27" s="90" t="s">
        <v>535</v>
      </c>
      <c r="R27" s="90"/>
      <c r="S27" s="90"/>
      <c r="T27" s="90"/>
      <c r="U27" s="90"/>
      <c r="V27" s="96" t="str">
        <f>HYPERLINK("https://pbs.twimg.com/profile_images/1450389213141159937/3JvJiY72_normal.jpg")</f>
        <v>https://pbs.twimg.com/profile_images/1450389213141159937/3JvJiY72_normal.jpg</v>
      </c>
      <c r="W27" s="93">
        <v>44526.83877314815</v>
      </c>
      <c r="X27" s="100">
        <v>44526</v>
      </c>
      <c r="Y27" s="97" t="s">
        <v>731</v>
      </c>
      <c r="Z27" s="96" t="str">
        <f>HYPERLINK("https://twitter.com/_naturisti/status/1464325039910793218")</f>
        <v>https://twitter.com/_naturisti/status/1464325039910793218</v>
      </c>
      <c r="AA27" s="90"/>
      <c r="AB27" s="90"/>
      <c r="AC27" s="97" t="s">
        <v>983</v>
      </c>
      <c r="AD27" s="97" t="s">
        <v>1226</v>
      </c>
      <c r="AE27" s="90" t="b">
        <v>0</v>
      </c>
      <c r="AF27" s="90">
        <v>17</v>
      </c>
      <c r="AG27" s="97" t="s">
        <v>1343</v>
      </c>
      <c r="AH27" s="90" t="b">
        <v>0</v>
      </c>
      <c r="AI27" s="90" t="s">
        <v>1442</v>
      </c>
      <c r="AJ27" s="90"/>
      <c r="AK27" s="97" t="s">
        <v>1338</v>
      </c>
      <c r="AL27" s="90" t="b">
        <v>0</v>
      </c>
      <c r="AM27" s="90">
        <v>0</v>
      </c>
      <c r="AN27" s="97" t="s">
        <v>1338</v>
      </c>
      <c r="AO27" s="97" t="s">
        <v>1452</v>
      </c>
      <c r="AP27" s="90" t="b">
        <v>0</v>
      </c>
      <c r="AQ27" s="97" t="s">
        <v>1226</v>
      </c>
      <c r="AR27" s="90" t="s">
        <v>187</v>
      </c>
      <c r="AS27" s="90">
        <v>0</v>
      </c>
      <c r="AT27" s="90">
        <v>0</v>
      </c>
      <c r="AU27" s="90"/>
      <c r="AV27" s="90"/>
      <c r="AW27" s="90"/>
      <c r="AX27" s="90"/>
      <c r="AY27" s="90"/>
      <c r="AZ27" s="90"/>
      <c r="BA27" s="90"/>
      <c r="BB27" s="90"/>
      <c r="BC27">
        <v>1</v>
      </c>
      <c r="BD27" s="89" t="str">
        <f>REPLACE(INDEX(GroupVertices[Group],MATCH(Edges[[#This Row],[Vertex 1]],GroupVertices[Vertex],0)),1,1,"")</f>
        <v>7</v>
      </c>
      <c r="BE27" s="89" t="str">
        <f>REPLACE(INDEX(GroupVertices[Group],MATCH(Edges[[#This Row],[Vertex 2]],GroupVertices[Vertex],0)),1,1,"")</f>
        <v>7</v>
      </c>
      <c r="BF27" s="49"/>
      <c r="BG27" s="50"/>
      <c r="BH27" s="49"/>
      <c r="BI27" s="50"/>
      <c r="BJ27" s="49"/>
      <c r="BK27" s="50"/>
      <c r="BL27" s="49"/>
      <c r="BM27" s="50"/>
      <c r="BN27" s="49"/>
    </row>
    <row r="28" spans="1:66" ht="15">
      <c r="A28" s="65" t="s">
        <v>238</v>
      </c>
      <c r="B28" s="65" t="s">
        <v>390</v>
      </c>
      <c r="C28" s="66" t="s">
        <v>5817</v>
      </c>
      <c r="D28" s="67">
        <v>1</v>
      </c>
      <c r="E28" s="68" t="s">
        <v>132</v>
      </c>
      <c r="F28" s="69">
        <v>32</v>
      </c>
      <c r="G28" s="66" t="s">
        <v>51</v>
      </c>
      <c r="H28" s="70"/>
      <c r="I28" s="71"/>
      <c r="J28" s="71"/>
      <c r="K28" s="35" t="s">
        <v>65</v>
      </c>
      <c r="L28" s="79">
        <v>28</v>
      </c>
      <c r="M28" s="79"/>
      <c r="N28" s="73"/>
      <c r="O28" s="90" t="s">
        <v>523</v>
      </c>
      <c r="P28" s="93">
        <v>44526.83877314815</v>
      </c>
      <c r="Q28" s="90" t="s">
        <v>535</v>
      </c>
      <c r="R28" s="90"/>
      <c r="S28" s="90"/>
      <c r="T28" s="90"/>
      <c r="U28" s="90"/>
      <c r="V28" s="96" t="str">
        <f>HYPERLINK("https://pbs.twimg.com/profile_images/1450389213141159937/3JvJiY72_normal.jpg")</f>
        <v>https://pbs.twimg.com/profile_images/1450389213141159937/3JvJiY72_normal.jpg</v>
      </c>
      <c r="W28" s="93">
        <v>44526.83877314815</v>
      </c>
      <c r="X28" s="100">
        <v>44526</v>
      </c>
      <c r="Y28" s="97" t="s">
        <v>731</v>
      </c>
      <c r="Z28" s="96" t="str">
        <f>HYPERLINK("https://twitter.com/_naturisti/status/1464325039910793218")</f>
        <v>https://twitter.com/_naturisti/status/1464325039910793218</v>
      </c>
      <c r="AA28" s="90"/>
      <c r="AB28" s="90"/>
      <c r="AC28" s="97" t="s">
        <v>983</v>
      </c>
      <c r="AD28" s="97" t="s">
        <v>1226</v>
      </c>
      <c r="AE28" s="90" t="b">
        <v>0</v>
      </c>
      <c r="AF28" s="90">
        <v>17</v>
      </c>
      <c r="AG28" s="97" t="s">
        <v>1343</v>
      </c>
      <c r="AH28" s="90" t="b">
        <v>0</v>
      </c>
      <c r="AI28" s="90" t="s">
        <v>1442</v>
      </c>
      <c r="AJ28" s="90"/>
      <c r="AK28" s="97" t="s">
        <v>1338</v>
      </c>
      <c r="AL28" s="90" t="b">
        <v>0</v>
      </c>
      <c r="AM28" s="90">
        <v>0</v>
      </c>
      <c r="AN28" s="97" t="s">
        <v>1338</v>
      </c>
      <c r="AO28" s="97" t="s">
        <v>1452</v>
      </c>
      <c r="AP28" s="90" t="b">
        <v>0</v>
      </c>
      <c r="AQ28" s="97" t="s">
        <v>1226</v>
      </c>
      <c r="AR28" s="90" t="s">
        <v>187</v>
      </c>
      <c r="AS28" s="90">
        <v>0</v>
      </c>
      <c r="AT28" s="90">
        <v>0</v>
      </c>
      <c r="AU28" s="90"/>
      <c r="AV28" s="90"/>
      <c r="AW28" s="90"/>
      <c r="AX28" s="90"/>
      <c r="AY28" s="90"/>
      <c r="AZ28" s="90"/>
      <c r="BA28" s="90"/>
      <c r="BB28" s="90"/>
      <c r="BC28">
        <v>1</v>
      </c>
      <c r="BD28" s="89" t="str">
        <f>REPLACE(INDEX(GroupVertices[Group],MATCH(Edges[[#This Row],[Vertex 1]],GroupVertices[Vertex],0)),1,1,"")</f>
        <v>7</v>
      </c>
      <c r="BE28" s="89" t="str">
        <f>REPLACE(INDEX(GroupVertices[Group],MATCH(Edges[[#This Row],[Vertex 2]],GroupVertices[Vertex],0)),1,1,"")</f>
        <v>7</v>
      </c>
      <c r="BF28" s="49">
        <v>0</v>
      </c>
      <c r="BG28" s="50">
        <v>0</v>
      </c>
      <c r="BH28" s="49">
        <v>0</v>
      </c>
      <c r="BI28" s="50">
        <v>0</v>
      </c>
      <c r="BJ28" s="49">
        <v>0</v>
      </c>
      <c r="BK28" s="50">
        <v>0</v>
      </c>
      <c r="BL28" s="49">
        <v>10</v>
      </c>
      <c r="BM28" s="50">
        <v>100</v>
      </c>
      <c r="BN28" s="49">
        <v>10</v>
      </c>
    </row>
    <row r="29" spans="1:66" ht="15">
      <c r="A29" s="65" t="s">
        <v>239</v>
      </c>
      <c r="B29" s="65" t="s">
        <v>239</v>
      </c>
      <c r="C29" s="66" t="s">
        <v>5817</v>
      </c>
      <c r="D29" s="67">
        <v>1</v>
      </c>
      <c r="E29" s="68" t="s">
        <v>132</v>
      </c>
      <c r="F29" s="69">
        <v>32</v>
      </c>
      <c r="G29" s="66" t="s">
        <v>51</v>
      </c>
      <c r="H29" s="70"/>
      <c r="I29" s="71"/>
      <c r="J29" s="71"/>
      <c r="K29" s="35" t="s">
        <v>65</v>
      </c>
      <c r="L29" s="79">
        <v>29</v>
      </c>
      <c r="M29" s="79"/>
      <c r="N29" s="73"/>
      <c r="O29" s="90" t="s">
        <v>187</v>
      </c>
      <c r="P29" s="93">
        <v>44526.84899305556</v>
      </c>
      <c r="Q29" s="90" t="s">
        <v>536</v>
      </c>
      <c r="R29"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 s="90" t="s">
        <v>691</v>
      </c>
      <c r="T29" s="90"/>
      <c r="U29" s="90"/>
      <c r="V29" s="96" t="str">
        <f>HYPERLINK("https://pbs.twimg.com/profile_images/1393503445861244928/ckDOZU7I_normal.jpg")</f>
        <v>https://pbs.twimg.com/profile_images/1393503445861244928/ckDOZU7I_normal.jpg</v>
      </c>
      <c r="W29" s="93">
        <v>44526.84899305556</v>
      </c>
      <c r="X29" s="100">
        <v>44526</v>
      </c>
      <c r="Y29" s="97" t="s">
        <v>732</v>
      </c>
      <c r="Z29" s="96" t="str">
        <f>HYPERLINK("https://twitter.com/marymindys/status/1464328745146331140")</f>
        <v>https://twitter.com/marymindys/status/1464328745146331140</v>
      </c>
      <c r="AA29" s="90"/>
      <c r="AB29" s="90"/>
      <c r="AC29" s="97" t="s">
        <v>984</v>
      </c>
      <c r="AD29" s="90"/>
      <c r="AE29" s="90" t="b">
        <v>0</v>
      </c>
      <c r="AF29" s="90">
        <v>1</v>
      </c>
      <c r="AG29" s="97" t="s">
        <v>1338</v>
      </c>
      <c r="AH29" s="90" t="b">
        <v>0</v>
      </c>
      <c r="AI29" s="90" t="s">
        <v>1442</v>
      </c>
      <c r="AJ29" s="90"/>
      <c r="AK29" s="97" t="s">
        <v>1338</v>
      </c>
      <c r="AL29" s="90" t="b">
        <v>0</v>
      </c>
      <c r="AM29" s="90">
        <v>0</v>
      </c>
      <c r="AN29" s="97" t="s">
        <v>1338</v>
      </c>
      <c r="AO29" s="97" t="s">
        <v>1452</v>
      </c>
      <c r="AP29" s="90" t="b">
        <v>0</v>
      </c>
      <c r="AQ29" s="97" t="s">
        <v>984</v>
      </c>
      <c r="AR29" s="90" t="s">
        <v>187</v>
      </c>
      <c r="AS29" s="90">
        <v>0</v>
      </c>
      <c r="AT29" s="90">
        <v>0</v>
      </c>
      <c r="AU29" s="90"/>
      <c r="AV29" s="90"/>
      <c r="AW29" s="90"/>
      <c r="AX29" s="90"/>
      <c r="AY29" s="90"/>
      <c r="AZ29" s="90"/>
      <c r="BA29" s="90"/>
      <c r="BB29" s="90"/>
      <c r="BC29">
        <v>1</v>
      </c>
      <c r="BD29" s="89" t="str">
        <f>REPLACE(INDEX(GroupVertices[Group],MATCH(Edges[[#This Row],[Vertex 1]],GroupVertices[Vertex],0)),1,1,"")</f>
        <v>16</v>
      </c>
      <c r="BE29" s="89" t="str">
        <f>REPLACE(INDEX(GroupVertices[Group],MATCH(Edges[[#This Row],[Vertex 2]],GroupVertices[Vertex],0)),1,1,"")</f>
        <v>16</v>
      </c>
      <c r="BF29" s="49">
        <v>0</v>
      </c>
      <c r="BG29" s="50">
        <v>0</v>
      </c>
      <c r="BH29" s="49">
        <v>0</v>
      </c>
      <c r="BI29" s="50">
        <v>0</v>
      </c>
      <c r="BJ29" s="49">
        <v>0</v>
      </c>
      <c r="BK29" s="50">
        <v>0</v>
      </c>
      <c r="BL29" s="49">
        <v>27</v>
      </c>
      <c r="BM29" s="50">
        <v>100</v>
      </c>
      <c r="BN29" s="49">
        <v>27</v>
      </c>
    </row>
    <row r="30" spans="1:66" ht="15">
      <c r="A30" s="65" t="s">
        <v>240</v>
      </c>
      <c r="B30" s="65" t="s">
        <v>387</v>
      </c>
      <c r="C30" s="66" t="s">
        <v>5817</v>
      </c>
      <c r="D30" s="67">
        <v>1</v>
      </c>
      <c r="E30" s="68" t="s">
        <v>132</v>
      </c>
      <c r="F30" s="69">
        <v>32</v>
      </c>
      <c r="G30" s="66" t="s">
        <v>51</v>
      </c>
      <c r="H30" s="70"/>
      <c r="I30" s="71"/>
      <c r="J30" s="71"/>
      <c r="K30" s="35" t="s">
        <v>65</v>
      </c>
      <c r="L30" s="79">
        <v>30</v>
      </c>
      <c r="M30" s="79"/>
      <c r="N30" s="73"/>
      <c r="O30" s="90" t="s">
        <v>524</v>
      </c>
      <c r="P30" s="93">
        <v>44526.97346064815</v>
      </c>
      <c r="Q30" s="90" t="s">
        <v>537</v>
      </c>
      <c r="R30" s="90"/>
      <c r="S30" s="90"/>
      <c r="T30" s="90"/>
      <c r="U30" s="90"/>
      <c r="V30" s="96" t="str">
        <f>HYPERLINK("https://pbs.twimg.com/profile_images/496235414609346560/JR7y-ZUd_normal.jpeg")</f>
        <v>https://pbs.twimg.com/profile_images/496235414609346560/JR7y-ZUd_normal.jpeg</v>
      </c>
      <c r="W30" s="93">
        <v>44526.97346064815</v>
      </c>
      <c r="X30" s="100">
        <v>44526</v>
      </c>
      <c r="Y30" s="97" t="s">
        <v>733</v>
      </c>
      <c r="Z30" s="96" t="str">
        <f>HYPERLINK("https://twitter.com/terokans/status/1464373852218220551")</f>
        <v>https://twitter.com/terokans/status/1464373852218220551</v>
      </c>
      <c r="AA30" s="90"/>
      <c r="AB30" s="90"/>
      <c r="AC30" s="97" t="s">
        <v>985</v>
      </c>
      <c r="AD30" s="97" t="s">
        <v>1227</v>
      </c>
      <c r="AE30" s="90" t="b">
        <v>0</v>
      </c>
      <c r="AF30" s="90">
        <v>0</v>
      </c>
      <c r="AG30" s="97" t="s">
        <v>1344</v>
      </c>
      <c r="AH30" s="90" t="b">
        <v>0</v>
      </c>
      <c r="AI30" s="90" t="s">
        <v>1442</v>
      </c>
      <c r="AJ30" s="90"/>
      <c r="AK30" s="97" t="s">
        <v>1338</v>
      </c>
      <c r="AL30" s="90" t="b">
        <v>0</v>
      </c>
      <c r="AM30" s="90">
        <v>0</v>
      </c>
      <c r="AN30" s="97" t="s">
        <v>1338</v>
      </c>
      <c r="AO30" s="97" t="s">
        <v>1450</v>
      </c>
      <c r="AP30" s="90" t="b">
        <v>0</v>
      </c>
      <c r="AQ30" s="97" t="s">
        <v>1227</v>
      </c>
      <c r="AR30" s="90" t="s">
        <v>187</v>
      </c>
      <c r="AS30" s="90">
        <v>0</v>
      </c>
      <c r="AT30" s="90">
        <v>0</v>
      </c>
      <c r="AU30" s="90"/>
      <c r="AV30" s="90"/>
      <c r="AW30" s="90"/>
      <c r="AX30" s="90"/>
      <c r="AY30" s="90"/>
      <c r="AZ30" s="90"/>
      <c r="BA30" s="90"/>
      <c r="BB30" s="90"/>
      <c r="BC30">
        <v>1</v>
      </c>
      <c r="BD30" s="89" t="str">
        <f>REPLACE(INDEX(GroupVertices[Group],MATCH(Edges[[#This Row],[Vertex 1]],GroupVertices[Vertex],0)),1,1,"")</f>
        <v>7</v>
      </c>
      <c r="BE30" s="89" t="str">
        <f>REPLACE(INDEX(GroupVertices[Group],MATCH(Edges[[#This Row],[Vertex 2]],GroupVertices[Vertex],0)),1,1,"")</f>
        <v>7</v>
      </c>
      <c r="BF30" s="49"/>
      <c r="BG30" s="50"/>
      <c r="BH30" s="49"/>
      <c r="BI30" s="50"/>
      <c r="BJ30" s="49"/>
      <c r="BK30" s="50"/>
      <c r="BL30" s="49"/>
      <c r="BM30" s="50"/>
      <c r="BN30" s="49"/>
    </row>
    <row r="31" spans="1:66" ht="15">
      <c r="A31" s="65" t="s">
        <v>240</v>
      </c>
      <c r="B31" s="65" t="s">
        <v>389</v>
      </c>
      <c r="C31" s="66" t="s">
        <v>5817</v>
      </c>
      <c r="D31" s="67">
        <v>1</v>
      </c>
      <c r="E31" s="68" t="s">
        <v>132</v>
      </c>
      <c r="F31" s="69">
        <v>32</v>
      </c>
      <c r="G31" s="66" t="s">
        <v>51</v>
      </c>
      <c r="H31" s="70"/>
      <c r="I31" s="71"/>
      <c r="J31" s="71"/>
      <c r="K31" s="35" t="s">
        <v>65</v>
      </c>
      <c r="L31" s="79">
        <v>31</v>
      </c>
      <c r="M31" s="79"/>
      <c r="N31" s="73"/>
      <c r="O31" s="90" t="s">
        <v>524</v>
      </c>
      <c r="P31" s="93">
        <v>44526.97346064815</v>
      </c>
      <c r="Q31" s="90" t="s">
        <v>537</v>
      </c>
      <c r="R31" s="90"/>
      <c r="S31" s="90"/>
      <c r="T31" s="90"/>
      <c r="U31" s="90"/>
      <c r="V31" s="96" t="str">
        <f>HYPERLINK("https://pbs.twimg.com/profile_images/496235414609346560/JR7y-ZUd_normal.jpeg")</f>
        <v>https://pbs.twimg.com/profile_images/496235414609346560/JR7y-ZUd_normal.jpeg</v>
      </c>
      <c r="W31" s="93">
        <v>44526.97346064815</v>
      </c>
      <c r="X31" s="100">
        <v>44526</v>
      </c>
      <c r="Y31" s="97" t="s">
        <v>733</v>
      </c>
      <c r="Z31" s="96" t="str">
        <f>HYPERLINK("https://twitter.com/terokans/status/1464373852218220551")</f>
        <v>https://twitter.com/terokans/status/1464373852218220551</v>
      </c>
      <c r="AA31" s="90"/>
      <c r="AB31" s="90"/>
      <c r="AC31" s="97" t="s">
        <v>985</v>
      </c>
      <c r="AD31" s="97" t="s">
        <v>1227</v>
      </c>
      <c r="AE31" s="90" t="b">
        <v>0</v>
      </c>
      <c r="AF31" s="90">
        <v>0</v>
      </c>
      <c r="AG31" s="97" t="s">
        <v>1344</v>
      </c>
      <c r="AH31" s="90" t="b">
        <v>0</v>
      </c>
      <c r="AI31" s="90" t="s">
        <v>1442</v>
      </c>
      <c r="AJ31" s="90"/>
      <c r="AK31" s="97" t="s">
        <v>1338</v>
      </c>
      <c r="AL31" s="90" t="b">
        <v>0</v>
      </c>
      <c r="AM31" s="90">
        <v>0</v>
      </c>
      <c r="AN31" s="97" t="s">
        <v>1338</v>
      </c>
      <c r="AO31" s="97" t="s">
        <v>1450</v>
      </c>
      <c r="AP31" s="90" t="b">
        <v>0</v>
      </c>
      <c r="AQ31" s="97" t="s">
        <v>1227</v>
      </c>
      <c r="AR31" s="90" t="s">
        <v>187</v>
      </c>
      <c r="AS31" s="90">
        <v>0</v>
      </c>
      <c r="AT31" s="90">
        <v>0</v>
      </c>
      <c r="AU31" s="90"/>
      <c r="AV31" s="90"/>
      <c r="AW31" s="90"/>
      <c r="AX31" s="90"/>
      <c r="AY31" s="90"/>
      <c r="AZ31" s="90"/>
      <c r="BA31" s="90"/>
      <c r="BB31" s="90"/>
      <c r="BC31">
        <v>1</v>
      </c>
      <c r="BD31" s="89" t="str">
        <f>REPLACE(INDEX(GroupVertices[Group],MATCH(Edges[[#This Row],[Vertex 1]],GroupVertices[Vertex],0)),1,1,"")</f>
        <v>7</v>
      </c>
      <c r="BE31" s="89" t="str">
        <f>REPLACE(INDEX(GroupVertices[Group],MATCH(Edges[[#This Row],[Vertex 2]],GroupVertices[Vertex],0)),1,1,"")</f>
        <v>7</v>
      </c>
      <c r="BF31" s="49"/>
      <c r="BG31" s="50"/>
      <c r="BH31" s="49"/>
      <c r="BI31" s="50"/>
      <c r="BJ31" s="49"/>
      <c r="BK31" s="50"/>
      <c r="BL31" s="49"/>
      <c r="BM31" s="50"/>
      <c r="BN31" s="49"/>
    </row>
    <row r="32" spans="1:66" ht="15">
      <c r="A32" s="65" t="s">
        <v>240</v>
      </c>
      <c r="B32" s="65" t="s">
        <v>391</v>
      </c>
      <c r="C32" s="66" t="s">
        <v>5817</v>
      </c>
      <c r="D32" s="67">
        <v>1</v>
      </c>
      <c r="E32" s="68" t="s">
        <v>132</v>
      </c>
      <c r="F32" s="69">
        <v>32</v>
      </c>
      <c r="G32" s="66" t="s">
        <v>51</v>
      </c>
      <c r="H32" s="70"/>
      <c r="I32" s="71"/>
      <c r="J32" s="71"/>
      <c r="K32" s="35" t="s">
        <v>65</v>
      </c>
      <c r="L32" s="79">
        <v>32</v>
      </c>
      <c r="M32" s="79"/>
      <c r="N32" s="73"/>
      <c r="O32" s="90" t="s">
        <v>523</v>
      </c>
      <c r="P32" s="93">
        <v>44526.97346064815</v>
      </c>
      <c r="Q32" s="90" t="s">
        <v>537</v>
      </c>
      <c r="R32" s="90"/>
      <c r="S32" s="90"/>
      <c r="T32" s="90"/>
      <c r="U32" s="90"/>
      <c r="V32" s="96" t="str">
        <f>HYPERLINK("https://pbs.twimg.com/profile_images/496235414609346560/JR7y-ZUd_normal.jpeg")</f>
        <v>https://pbs.twimg.com/profile_images/496235414609346560/JR7y-ZUd_normal.jpeg</v>
      </c>
      <c r="W32" s="93">
        <v>44526.97346064815</v>
      </c>
      <c r="X32" s="100">
        <v>44526</v>
      </c>
      <c r="Y32" s="97" t="s">
        <v>733</v>
      </c>
      <c r="Z32" s="96" t="str">
        <f>HYPERLINK("https://twitter.com/terokans/status/1464373852218220551")</f>
        <v>https://twitter.com/terokans/status/1464373852218220551</v>
      </c>
      <c r="AA32" s="90"/>
      <c r="AB32" s="90"/>
      <c r="AC32" s="97" t="s">
        <v>985</v>
      </c>
      <c r="AD32" s="97" t="s">
        <v>1227</v>
      </c>
      <c r="AE32" s="90" t="b">
        <v>0</v>
      </c>
      <c r="AF32" s="90">
        <v>0</v>
      </c>
      <c r="AG32" s="97" t="s">
        <v>1344</v>
      </c>
      <c r="AH32" s="90" t="b">
        <v>0</v>
      </c>
      <c r="AI32" s="90" t="s">
        <v>1442</v>
      </c>
      <c r="AJ32" s="90"/>
      <c r="AK32" s="97" t="s">
        <v>1338</v>
      </c>
      <c r="AL32" s="90" t="b">
        <v>0</v>
      </c>
      <c r="AM32" s="90">
        <v>0</v>
      </c>
      <c r="AN32" s="97" t="s">
        <v>1338</v>
      </c>
      <c r="AO32" s="97" t="s">
        <v>1450</v>
      </c>
      <c r="AP32" s="90" t="b">
        <v>0</v>
      </c>
      <c r="AQ32" s="97" t="s">
        <v>1227</v>
      </c>
      <c r="AR32" s="90" t="s">
        <v>187</v>
      </c>
      <c r="AS32" s="90">
        <v>0</v>
      </c>
      <c r="AT32" s="90">
        <v>0</v>
      </c>
      <c r="AU32" s="90"/>
      <c r="AV32" s="90"/>
      <c r="AW32" s="90"/>
      <c r="AX32" s="90"/>
      <c r="AY32" s="90"/>
      <c r="AZ32" s="90"/>
      <c r="BA32" s="90"/>
      <c r="BB32" s="90"/>
      <c r="BC32">
        <v>1</v>
      </c>
      <c r="BD32" s="89" t="str">
        <f>REPLACE(INDEX(GroupVertices[Group],MATCH(Edges[[#This Row],[Vertex 1]],GroupVertices[Vertex],0)),1,1,"")</f>
        <v>7</v>
      </c>
      <c r="BE32" s="89" t="str">
        <f>REPLACE(INDEX(GroupVertices[Group],MATCH(Edges[[#This Row],[Vertex 2]],GroupVertices[Vertex],0)),1,1,"")</f>
        <v>7</v>
      </c>
      <c r="BF32" s="49">
        <v>0</v>
      </c>
      <c r="BG32" s="50">
        <v>0</v>
      </c>
      <c r="BH32" s="49">
        <v>0</v>
      </c>
      <c r="BI32" s="50">
        <v>0</v>
      </c>
      <c r="BJ32" s="49">
        <v>0</v>
      </c>
      <c r="BK32" s="50">
        <v>0</v>
      </c>
      <c r="BL32" s="49">
        <v>19</v>
      </c>
      <c r="BM32" s="50">
        <v>100</v>
      </c>
      <c r="BN32" s="49">
        <v>19</v>
      </c>
    </row>
    <row r="33" spans="1:66" ht="15">
      <c r="A33" s="65" t="s">
        <v>240</v>
      </c>
      <c r="B33" s="65" t="s">
        <v>388</v>
      </c>
      <c r="C33" s="66" t="s">
        <v>5817</v>
      </c>
      <c r="D33" s="67">
        <v>1</v>
      </c>
      <c r="E33" s="68" t="s">
        <v>132</v>
      </c>
      <c r="F33" s="69">
        <v>32</v>
      </c>
      <c r="G33" s="66" t="s">
        <v>51</v>
      </c>
      <c r="H33" s="70"/>
      <c r="I33" s="71"/>
      <c r="J33" s="71"/>
      <c r="K33" s="35" t="s">
        <v>65</v>
      </c>
      <c r="L33" s="79">
        <v>33</v>
      </c>
      <c r="M33" s="79"/>
      <c r="N33" s="73"/>
      <c r="O33" s="90" t="s">
        <v>524</v>
      </c>
      <c r="P33" s="93">
        <v>44526.97346064815</v>
      </c>
      <c r="Q33" s="90" t="s">
        <v>537</v>
      </c>
      <c r="R33" s="90"/>
      <c r="S33" s="90"/>
      <c r="T33" s="90"/>
      <c r="U33" s="90"/>
      <c r="V33" s="96" t="str">
        <f>HYPERLINK("https://pbs.twimg.com/profile_images/496235414609346560/JR7y-ZUd_normal.jpeg")</f>
        <v>https://pbs.twimg.com/profile_images/496235414609346560/JR7y-ZUd_normal.jpeg</v>
      </c>
      <c r="W33" s="93">
        <v>44526.97346064815</v>
      </c>
      <c r="X33" s="100">
        <v>44526</v>
      </c>
      <c r="Y33" s="97" t="s">
        <v>733</v>
      </c>
      <c r="Z33" s="96" t="str">
        <f>HYPERLINK("https://twitter.com/terokans/status/1464373852218220551")</f>
        <v>https://twitter.com/terokans/status/1464373852218220551</v>
      </c>
      <c r="AA33" s="90"/>
      <c r="AB33" s="90"/>
      <c r="AC33" s="97" t="s">
        <v>985</v>
      </c>
      <c r="AD33" s="97" t="s">
        <v>1227</v>
      </c>
      <c r="AE33" s="90" t="b">
        <v>0</v>
      </c>
      <c r="AF33" s="90">
        <v>0</v>
      </c>
      <c r="AG33" s="97" t="s">
        <v>1344</v>
      </c>
      <c r="AH33" s="90" t="b">
        <v>0</v>
      </c>
      <c r="AI33" s="90" t="s">
        <v>1442</v>
      </c>
      <c r="AJ33" s="90"/>
      <c r="AK33" s="97" t="s">
        <v>1338</v>
      </c>
      <c r="AL33" s="90" t="b">
        <v>0</v>
      </c>
      <c r="AM33" s="90">
        <v>0</v>
      </c>
      <c r="AN33" s="97" t="s">
        <v>1338</v>
      </c>
      <c r="AO33" s="97" t="s">
        <v>1450</v>
      </c>
      <c r="AP33" s="90" t="b">
        <v>0</v>
      </c>
      <c r="AQ33" s="97" t="s">
        <v>1227</v>
      </c>
      <c r="AR33" s="90" t="s">
        <v>187</v>
      </c>
      <c r="AS33" s="90">
        <v>0</v>
      </c>
      <c r="AT33" s="90">
        <v>0</v>
      </c>
      <c r="AU33" s="90"/>
      <c r="AV33" s="90"/>
      <c r="AW33" s="90"/>
      <c r="AX33" s="90"/>
      <c r="AY33" s="90"/>
      <c r="AZ33" s="90"/>
      <c r="BA33" s="90"/>
      <c r="BB33" s="90"/>
      <c r="BC33">
        <v>1</v>
      </c>
      <c r="BD33" s="89" t="str">
        <f>REPLACE(INDEX(GroupVertices[Group],MATCH(Edges[[#This Row],[Vertex 1]],GroupVertices[Vertex],0)),1,1,"")</f>
        <v>7</v>
      </c>
      <c r="BE33" s="89" t="str">
        <f>REPLACE(INDEX(GroupVertices[Group],MATCH(Edges[[#This Row],[Vertex 2]],GroupVertices[Vertex],0)),1,1,"")</f>
        <v>7</v>
      </c>
      <c r="BF33" s="49"/>
      <c r="BG33" s="50"/>
      <c r="BH33" s="49"/>
      <c r="BI33" s="50"/>
      <c r="BJ33" s="49"/>
      <c r="BK33" s="50"/>
      <c r="BL33" s="49"/>
      <c r="BM33" s="50"/>
      <c r="BN33" s="49"/>
    </row>
    <row r="34" spans="1:66" ht="15">
      <c r="A34" s="65" t="s">
        <v>240</v>
      </c>
      <c r="B34" s="65" t="s">
        <v>390</v>
      </c>
      <c r="C34" s="66" t="s">
        <v>5817</v>
      </c>
      <c r="D34" s="67">
        <v>1</v>
      </c>
      <c r="E34" s="68" t="s">
        <v>132</v>
      </c>
      <c r="F34" s="69">
        <v>32</v>
      </c>
      <c r="G34" s="66" t="s">
        <v>51</v>
      </c>
      <c r="H34" s="70"/>
      <c r="I34" s="71"/>
      <c r="J34" s="71"/>
      <c r="K34" s="35" t="s">
        <v>65</v>
      </c>
      <c r="L34" s="79">
        <v>34</v>
      </c>
      <c r="M34" s="79"/>
      <c r="N34" s="73"/>
      <c r="O34" s="90" t="s">
        <v>524</v>
      </c>
      <c r="P34" s="93">
        <v>44526.97346064815</v>
      </c>
      <c r="Q34" s="90" t="s">
        <v>537</v>
      </c>
      <c r="R34" s="90"/>
      <c r="S34" s="90"/>
      <c r="T34" s="90"/>
      <c r="U34" s="90"/>
      <c r="V34" s="96" t="str">
        <f>HYPERLINK("https://pbs.twimg.com/profile_images/496235414609346560/JR7y-ZUd_normal.jpeg")</f>
        <v>https://pbs.twimg.com/profile_images/496235414609346560/JR7y-ZUd_normal.jpeg</v>
      </c>
      <c r="W34" s="93">
        <v>44526.97346064815</v>
      </c>
      <c r="X34" s="100">
        <v>44526</v>
      </c>
      <c r="Y34" s="97" t="s">
        <v>733</v>
      </c>
      <c r="Z34" s="96" t="str">
        <f>HYPERLINK("https://twitter.com/terokans/status/1464373852218220551")</f>
        <v>https://twitter.com/terokans/status/1464373852218220551</v>
      </c>
      <c r="AA34" s="90"/>
      <c r="AB34" s="90"/>
      <c r="AC34" s="97" t="s">
        <v>985</v>
      </c>
      <c r="AD34" s="97" t="s">
        <v>1227</v>
      </c>
      <c r="AE34" s="90" t="b">
        <v>0</v>
      </c>
      <c r="AF34" s="90">
        <v>0</v>
      </c>
      <c r="AG34" s="97" t="s">
        <v>1344</v>
      </c>
      <c r="AH34" s="90" t="b">
        <v>0</v>
      </c>
      <c r="AI34" s="90" t="s">
        <v>1442</v>
      </c>
      <c r="AJ34" s="90"/>
      <c r="AK34" s="97" t="s">
        <v>1338</v>
      </c>
      <c r="AL34" s="90" t="b">
        <v>0</v>
      </c>
      <c r="AM34" s="90">
        <v>0</v>
      </c>
      <c r="AN34" s="97" t="s">
        <v>1338</v>
      </c>
      <c r="AO34" s="97" t="s">
        <v>1450</v>
      </c>
      <c r="AP34" s="90" t="b">
        <v>0</v>
      </c>
      <c r="AQ34" s="97" t="s">
        <v>1227</v>
      </c>
      <c r="AR34" s="90" t="s">
        <v>187</v>
      </c>
      <c r="AS34" s="90">
        <v>0</v>
      </c>
      <c r="AT34" s="90">
        <v>0</v>
      </c>
      <c r="AU34" s="90"/>
      <c r="AV34" s="90"/>
      <c r="AW34" s="90"/>
      <c r="AX34" s="90"/>
      <c r="AY34" s="90"/>
      <c r="AZ34" s="90"/>
      <c r="BA34" s="90"/>
      <c r="BB34" s="90"/>
      <c r="BC34">
        <v>1</v>
      </c>
      <c r="BD34" s="89" t="str">
        <f>REPLACE(INDEX(GroupVertices[Group],MATCH(Edges[[#This Row],[Vertex 1]],GroupVertices[Vertex],0)),1,1,"")</f>
        <v>7</v>
      </c>
      <c r="BE34" s="89" t="str">
        <f>REPLACE(INDEX(GroupVertices[Group],MATCH(Edges[[#This Row],[Vertex 2]],GroupVertices[Vertex],0)),1,1,"")</f>
        <v>7</v>
      </c>
      <c r="BF34" s="49"/>
      <c r="BG34" s="50"/>
      <c r="BH34" s="49"/>
      <c r="BI34" s="50"/>
      <c r="BJ34" s="49"/>
      <c r="BK34" s="50"/>
      <c r="BL34" s="49"/>
      <c r="BM34" s="50"/>
      <c r="BN34" s="49"/>
    </row>
    <row r="35" spans="1:66" ht="15">
      <c r="A35" s="65" t="s">
        <v>241</v>
      </c>
      <c r="B35" s="65" t="s">
        <v>241</v>
      </c>
      <c r="C35" s="66" t="s">
        <v>5817</v>
      </c>
      <c r="D35" s="67">
        <v>1</v>
      </c>
      <c r="E35" s="68" t="s">
        <v>132</v>
      </c>
      <c r="F35" s="69">
        <v>32</v>
      </c>
      <c r="G35" s="66" t="s">
        <v>51</v>
      </c>
      <c r="H35" s="70"/>
      <c r="I35" s="71"/>
      <c r="J35" s="71"/>
      <c r="K35" s="35" t="s">
        <v>65</v>
      </c>
      <c r="L35" s="79">
        <v>35</v>
      </c>
      <c r="M35" s="79"/>
      <c r="N35" s="73"/>
      <c r="O35" s="90" t="s">
        <v>187</v>
      </c>
      <c r="P35" s="93">
        <v>44526.97746527778</v>
      </c>
      <c r="Q35" s="90" t="s">
        <v>538</v>
      </c>
      <c r="R35" s="90"/>
      <c r="S35" s="90"/>
      <c r="T35" s="90"/>
      <c r="U35" s="90"/>
      <c r="V35" s="96" t="str">
        <f>HYPERLINK("https://pbs.twimg.com/profile_images/1355558109188644867/IKtgiVUy_normal.jpg")</f>
        <v>https://pbs.twimg.com/profile_images/1355558109188644867/IKtgiVUy_normal.jpg</v>
      </c>
      <c r="W35" s="93">
        <v>44526.97746527778</v>
      </c>
      <c r="X35" s="100">
        <v>44526</v>
      </c>
      <c r="Y35" s="97" t="s">
        <v>734</v>
      </c>
      <c r="Z35" s="96" t="str">
        <f>HYPERLINK("https://twitter.com/jarileino3/status/1464375304374435846")</f>
        <v>https://twitter.com/jarileino3/status/1464375304374435846</v>
      </c>
      <c r="AA35" s="90"/>
      <c r="AB35" s="90"/>
      <c r="AC35" s="97" t="s">
        <v>986</v>
      </c>
      <c r="AD35" s="97" t="s">
        <v>1228</v>
      </c>
      <c r="AE35" s="90" t="b">
        <v>0</v>
      </c>
      <c r="AF35" s="90">
        <v>2</v>
      </c>
      <c r="AG35" s="97" t="s">
        <v>1345</v>
      </c>
      <c r="AH35" s="90" t="b">
        <v>0</v>
      </c>
      <c r="AI35" s="90" t="s">
        <v>1442</v>
      </c>
      <c r="AJ35" s="90"/>
      <c r="AK35" s="97" t="s">
        <v>1338</v>
      </c>
      <c r="AL35" s="90" t="b">
        <v>0</v>
      </c>
      <c r="AM35" s="90">
        <v>1</v>
      </c>
      <c r="AN35" s="97" t="s">
        <v>1338</v>
      </c>
      <c r="AO35" s="97" t="s">
        <v>1450</v>
      </c>
      <c r="AP35" s="90" t="b">
        <v>0</v>
      </c>
      <c r="AQ35" s="97" t="s">
        <v>1228</v>
      </c>
      <c r="AR35" s="90" t="s">
        <v>187</v>
      </c>
      <c r="AS35" s="90">
        <v>0</v>
      </c>
      <c r="AT35" s="90">
        <v>0</v>
      </c>
      <c r="AU35" s="90"/>
      <c r="AV35" s="90"/>
      <c r="AW35" s="90"/>
      <c r="AX35" s="90"/>
      <c r="AY35" s="90"/>
      <c r="AZ35" s="90"/>
      <c r="BA35" s="90"/>
      <c r="BB35" s="90"/>
      <c r="BC35">
        <v>1</v>
      </c>
      <c r="BD35" s="89" t="str">
        <f>REPLACE(INDEX(GroupVertices[Group],MATCH(Edges[[#This Row],[Vertex 1]],GroupVertices[Vertex],0)),1,1,"")</f>
        <v>16</v>
      </c>
      <c r="BE35" s="89" t="str">
        <f>REPLACE(INDEX(GroupVertices[Group],MATCH(Edges[[#This Row],[Vertex 2]],GroupVertices[Vertex],0)),1,1,"")</f>
        <v>16</v>
      </c>
      <c r="BF35" s="49">
        <v>0</v>
      </c>
      <c r="BG35" s="50">
        <v>0</v>
      </c>
      <c r="BH35" s="49">
        <v>0</v>
      </c>
      <c r="BI35" s="50">
        <v>0</v>
      </c>
      <c r="BJ35" s="49">
        <v>0</v>
      </c>
      <c r="BK35" s="50">
        <v>0</v>
      </c>
      <c r="BL35" s="49">
        <v>41</v>
      </c>
      <c r="BM35" s="50">
        <v>100</v>
      </c>
      <c r="BN35" s="49">
        <v>41</v>
      </c>
    </row>
    <row r="36" spans="1:66" ht="15">
      <c r="A36" s="65" t="s">
        <v>241</v>
      </c>
      <c r="B36" s="65" t="s">
        <v>241</v>
      </c>
      <c r="C36" s="66" t="s">
        <v>5817</v>
      </c>
      <c r="D36" s="67">
        <v>1</v>
      </c>
      <c r="E36" s="68" t="s">
        <v>132</v>
      </c>
      <c r="F36" s="69">
        <v>32</v>
      </c>
      <c r="G36" s="66" t="s">
        <v>51</v>
      </c>
      <c r="H36" s="70"/>
      <c r="I36" s="71"/>
      <c r="J36" s="71"/>
      <c r="K36" s="35" t="s">
        <v>65</v>
      </c>
      <c r="L36" s="79">
        <v>36</v>
      </c>
      <c r="M36" s="79"/>
      <c r="N36" s="73"/>
      <c r="O36" s="90" t="s">
        <v>522</v>
      </c>
      <c r="P36" s="93">
        <v>44526.97752314815</v>
      </c>
      <c r="Q36" s="90" t="s">
        <v>538</v>
      </c>
      <c r="R36" s="90"/>
      <c r="S36" s="90"/>
      <c r="T36" s="90"/>
      <c r="U36" s="90"/>
      <c r="V36" s="96" t="str">
        <f>HYPERLINK("https://pbs.twimg.com/profile_images/1355558109188644867/IKtgiVUy_normal.jpg")</f>
        <v>https://pbs.twimg.com/profile_images/1355558109188644867/IKtgiVUy_normal.jpg</v>
      </c>
      <c r="W36" s="93">
        <v>44526.97752314815</v>
      </c>
      <c r="X36" s="100">
        <v>44526</v>
      </c>
      <c r="Y36" s="97" t="s">
        <v>735</v>
      </c>
      <c r="Z36" s="96" t="str">
        <f>HYPERLINK("https://twitter.com/jarileino3/status/1464375324389650438")</f>
        <v>https://twitter.com/jarileino3/status/1464375324389650438</v>
      </c>
      <c r="AA36" s="90"/>
      <c r="AB36" s="90"/>
      <c r="AC36" s="97" t="s">
        <v>987</v>
      </c>
      <c r="AD36" s="90"/>
      <c r="AE36" s="90" t="b">
        <v>0</v>
      </c>
      <c r="AF36" s="90">
        <v>0</v>
      </c>
      <c r="AG36" s="97" t="s">
        <v>1338</v>
      </c>
      <c r="AH36" s="90" t="b">
        <v>0</v>
      </c>
      <c r="AI36" s="90" t="s">
        <v>1442</v>
      </c>
      <c r="AJ36" s="90"/>
      <c r="AK36" s="97" t="s">
        <v>1338</v>
      </c>
      <c r="AL36" s="90" t="b">
        <v>0</v>
      </c>
      <c r="AM36" s="90">
        <v>1</v>
      </c>
      <c r="AN36" s="97" t="s">
        <v>986</v>
      </c>
      <c r="AO36" s="97" t="s">
        <v>1450</v>
      </c>
      <c r="AP36" s="90" t="b">
        <v>0</v>
      </c>
      <c r="AQ36" s="97" t="s">
        <v>986</v>
      </c>
      <c r="AR36" s="90" t="s">
        <v>187</v>
      </c>
      <c r="AS36" s="90">
        <v>0</v>
      </c>
      <c r="AT36" s="90">
        <v>0</v>
      </c>
      <c r="AU36" s="90"/>
      <c r="AV36" s="90"/>
      <c r="AW36" s="90"/>
      <c r="AX36" s="90"/>
      <c r="AY36" s="90"/>
      <c r="AZ36" s="90"/>
      <c r="BA36" s="90"/>
      <c r="BB36" s="90"/>
      <c r="BC36">
        <v>1</v>
      </c>
      <c r="BD36" s="89" t="str">
        <f>REPLACE(INDEX(GroupVertices[Group],MATCH(Edges[[#This Row],[Vertex 1]],GroupVertices[Vertex],0)),1,1,"")</f>
        <v>16</v>
      </c>
      <c r="BE36" s="89" t="str">
        <f>REPLACE(INDEX(GroupVertices[Group],MATCH(Edges[[#This Row],[Vertex 2]],GroupVertices[Vertex],0)),1,1,"")</f>
        <v>16</v>
      </c>
      <c r="BF36" s="49">
        <v>0</v>
      </c>
      <c r="BG36" s="50">
        <v>0</v>
      </c>
      <c r="BH36" s="49">
        <v>0</v>
      </c>
      <c r="BI36" s="50">
        <v>0</v>
      </c>
      <c r="BJ36" s="49">
        <v>0</v>
      </c>
      <c r="BK36" s="50">
        <v>0</v>
      </c>
      <c r="BL36" s="49">
        <v>41</v>
      </c>
      <c r="BM36" s="50">
        <v>100</v>
      </c>
      <c r="BN36" s="49">
        <v>41</v>
      </c>
    </row>
    <row r="37" spans="1:66" ht="15">
      <c r="A37" s="65" t="s">
        <v>242</v>
      </c>
      <c r="B37" s="65" t="s">
        <v>247</v>
      </c>
      <c r="C37" s="66" t="s">
        <v>5817</v>
      </c>
      <c r="D37" s="67">
        <v>1</v>
      </c>
      <c r="E37" s="68" t="s">
        <v>132</v>
      </c>
      <c r="F37" s="69">
        <v>32</v>
      </c>
      <c r="G37" s="66" t="s">
        <v>51</v>
      </c>
      <c r="H37" s="70"/>
      <c r="I37" s="71"/>
      <c r="J37" s="71"/>
      <c r="K37" s="35" t="s">
        <v>65</v>
      </c>
      <c r="L37" s="79">
        <v>37</v>
      </c>
      <c r="M37" s="79"/>
      <c r="N37" s="73"/>
      <c r="O37" s="90" t="s">
        <v>522</v>
      </c>
      <c r="P37" s="93">
        <v>44527.07027777778</v>
      </c>
      <c r="Q37" s="90" t="s">
        <v>539</v>
      </c>
      <c r="R37" s="90"/>
      <c r="S37" s="90"/>
      <c r="T37" s="90"/>
      <c r="U37" s="96" t="str">
        <f>HYPERLINK("https://pbs.twimg.com/media/FFJL3ipX0AMtWyv.jpg")</f>
        <v>https://pbs.twimg.com/media/FFJL3ipX0AMtWyv.jpg</v>
      </c>
      <c r="V37" s="96" t="str">
        <f>HYPERLINK("https://pbs.twimg.com/media/FFJL3ipX0AMtWyv.jpg")</f>
        <v>https://pbs.twimg.com/media/FFJL3ipX0AMtWyv.jpg</v>
      </c>
      <c r="W37" s="93">
        <v>44527.07027777778</v>
      </c>
      <c r="X37" s="100">
        <v>44527</v>
      </c>
      <c r="Y37" s="97" t="s">
        <v>736</v>
      </c>
      <c r="Z37" s="96" t="str">
        <f>HYPERLINK("https://twitter.com/arlenmerlen/status/1464408936971485186")</f>
        <v>https://twitter.com/arlenmerlen/status/1464408936971485186</v>
      </c>
      <c r="AA37" s="90"/>
      <c r="AB37" s="90"/>
      <c r="AC37" s="97" t="s">
        <v>988</v>
      </c>
      <c r="AD37" s="90"/>
      <c r="AE37" s="90" t="b">
        <v>0</v>
      </c>
      <c r="AF37" s="90">
        <v>0</v>
      </c>
      <c r="AG37" s="97" t="s">
        <v>1338</v>
      </c>
      <c r="AH37" s="90" t="b">
        <v>0</v>
      </c>
      <c r="AI37" s="90" t="s">
        <v>1442</v>
      </c>
      <c r="AJ37" s="90"/>
      <c r="AK37" s="97" t="s">
        <v>1338</v>
      </c>
      <c r="AL37" s="90" t="b">
        <v>0</v>
      </c>
      <c r="AM37" s="90">
        <v>1</v>
      </c>
      <c r="AN37" s="97" t="s">
        <v>994</v>
      </c>
      <c r="AO37" s="97" t="s">
        <v>1452</v>
      </c>
      <c r="AP37" s="90" t="b">
        <v>0</v>
      </c>
      <c r="AQ37" s="97" t="s">
        <v>994</v>
      </c>
      <c r="AR37" s="90" t="s">
        <v>187</v>
      </c>
      <c r="AS37" s="90">
        <v>0</v>
      </c>
      <c r="AT37" s="90">
        <v>0</v>
      </c>
      <c r="AU37" s="90"/>
      <c r="AV37" s="90"/>
      <c r="AW37" s="90"/>
      <c r="AX37" s="90"/>
      <c r="AY37" s="90"/>
      <c r="AZ37" s="90"/>
      <c r="BA37" s="90"/>
      <c r="BB37" s="90"/>
      <c r="BC37">
        <v>1</v>
      </c>
      <c r="BD37" s="89" t="str">
        <f>REPLACE(INDEX(GroupVertices[Group],MATCH(Edges[[#This Row],[Vertex 1]],GroupVertices[Vertex],0)),1,1,"")</f>
        <v>14</v>
      </c>
      <c r="BE37" s="89" t="str">
        <f>REPLACE(INDEX(GroupVertices[Group],MATCH(Edges[[#This Row],[Vertex 2]],GroupVertices[Vertex],0)),1,1,"")</f>
        <v>14</v>
      </c>
      <c r="BF37" s="49">
        <v>0</v>
      </c>
      <c r="BG37" s="50">
        <v>0</v>
      </c>
      <c r="BH37" s="49">
        <v>0</v>
      </c>
      <c r="BI37" s="50">
        <v>0</v>
      </c>
      <c r="BJ37" s="49">
        <v>0</v>
      </c>
      <c r="BK37" s="50">
        <v>0</v>
      </c>
      <c r="BL37" s="49">
        <v>19</v>
      </c>
      <c r="BM37" s="50">
        <v>100</v>
      </c>
      <c r="BN37" s="49">
        <v>19</v>
      </c>
    </row>
    <row r="38" spans="1:66" ht="15">
      <c r="A38" s="65" t="s">
        <v>243</v>
      </c>
      <c r="B38" s="65" t="s">
        <v>374</v>
      </c>
      <c r="C38" s="66" t="s">
        <v>5817</v>
      </c>
      <c r="D38" s="67">
        <v>1</v>
      </c>
      <c r="E38" s="68" t="s">
        <v>132</v>
      </c>
      <c r="F38" s="69">
        <v>32</v>
      </c>
      <c r="G38" s="66" t="s">
        <v>51</v>
      </c>
      <c r="H38" s="70"/>
      <c r="I38" s="71"/>
      <c r="J38" s="71"/>
      <c r="K38" s="35" t="s">
        <v>65</v>
      </c>
      <c r="L38" s="79">
        <v>38</v>
      </c>
      <c r="M38" s="79"/>
      <c r="N38" s="73"/>
      <c r="O38" s="90" t="s">
        <v>522</v>
      </c>
      <c r="P38" s="93">
        <v>44527.175775462965</v>
      </c>
      <c r="Q38" s="90" t="s">
        <v>540</v>
      </c>
      <c r="R38" s="96" t="str">
        <f>HYPERLINK("https://www.iltalehti.fi/terveysuutiset/a/267d645a-c545-4161-aa04-bc742a580248")</f>
        <v>https://www.iltalehti.fi/terveysuutiset/a/267d645a-c545-4161-aa04-bc742a580248</v>
      </c>
      <c r="S38" s="90" t="s">
        <v>692</v>
      </c>
      <c r="T38" s="90"/>
      <c r="U38" s="90"/>
      <c r="V38" s="96" t="str">
        <f>HYPERLINK("https://pbs.twimg.com/profile_images/1418500076201287682/0dqXJtem_normal.jpg")</f>
        <v>https://pbs.twimg.com/profile_images/1418500076201287682/0dqXJtem_normal.jpg</v>
      </c>
      <c r="W38" s="93">
        <v>44527.175775462965</v>
      </c>
      <c r="X38" s="100">
        <v>44527</v>
      </c>
      <c r="Y38" s="97" t="s">
        <v>737</v>
      </c>
      <c r="Z38" s="96" t="str">
        <f>HYPERLINK("https://twitter.com/areyounoob/status/1464447167700115459")</f>
        <v>https://twitter.com/areyounoob/status/1464447167700115459</v>
      </c>
      <c r="AA38" s="90"/>
      <c r="AB38" s="90"/>
      <c r="AC38" s="97" t="s">
        <v>989</v>
      </c>
      <c r="AD38" s="90"/>
      <c r="AE38" s="90" t="b">
        <v>0</v>
      </c>
      <c r="AF38" s="90">
        <v>0</v>
      </c>
      <c r="AG38" s="97" t="s">
        <v>1338</v>
      </c>
      <c r="AH38" s="90" t="b">
        <v>0</v>
      </c>
      <c r="AI38" s="90" t="s">
        <v>1442</v>
      </c>
      <c r="AJ38" s="90"/>
      <c r="AK38" s="97" t="s">
        <v>1338</v>
      </c>
      <c r="AL38" s="90" t="b">
        <v>0</v>
      </c>
      <c r="AM38" s="90">
        <v>3</v>
      </c>
      <c r="AN38" s="97" t="s">
        <v>1217</v>
      </c>
      <c r="AO38" s="97" t="s">
        <v>1450</v>
      </c>
      <c r="AP38" s="90" t="b">
        <v>0</v>
      </c>
      <c r="AQ38" s="97" t="s">
        <v>1217</v>
      </c>
      <c r="AR38" s="90" t="s">
        <v>187</v>
      </c>
      <c r="AS38" s="90">
        <v>0</v>
      </c>
      <c r="AT38" s="90">
        <v>0</v>
      </c>
      <c r="AU38" s="90"/>
      <c r="AV38" s="90"/>
      <c r="AW38" s="90"/>
      <c r="AX38" s="90"/>
      <c r="AY38" s="90"/>
      <c r="AZ38" s="90"/>
      <c r="BA38" s="90"/>
      <c r="BB38" s="90"/>
      <c r="BC38">
        <v>1</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28</v>
      </c>
      <c r="BM38" s="50">
        <v>100</v>
      </c>
      <c r="BN38" s="49">
        <v>28</v>
      </c>
    </row>
    <row r="39" spans="1:66" ht="15">
      <c r="A39" s="65" t="s">
        <v>244</v>
      </c>
      <c r="B39" s="65" t="s">
        <v>392</v>
      </c>
      <c r="C39" s="66" t="s">
        <v>5817</v>
      </c>
      <c r="D39" s="67">
        <v>1</v>
      </c>
      <c r="E39" s="68" t="s">
        <v>132</v>
      </c>
      <c r="F39" s="69">
        <v>32</v>
      </c>
      <c r="G39" s="66" t="s">
        <v>51</v>
      </c>
      <c r="H39" s="70"/>
      <c r="I39" s="71"/>
      <c r="J39" s="71"/>
      <c r="K39" s="35" t="s">
        <v>65</v>
      </c>
      <c r="L39" s="79">
        <v>39</v>
      </c>
      <c r="M39" s="79"/>
      <c r="N39" s="73"/>
      <c r="O39" s="90" t="s">
        <v>523</v>
      </c>
      <c r="P39" s="93">
        <v>44527.41543981482</v>
      </c>
      <c r="Q39" s="90" t="s">
        <v>541</v>
      </c>
      <c r="R39" s="90"/>
      <c r="S39" s="90"/>
      <c r="T39" s="90"/>
      <c r="U39" s="90"/>
      <c r="V39" s="96" t="str">
        <f>HYPERLINK("https://pbs.twimg.com/profile_images/1429016732824387584/cuT-jUIj_normal.jpg")</f>
        <v>https://pbs.twimg.com/profile_images/1429016732824387584/cuT-jUIj_normal.jpg</v>
      </c>
      <c r="W39" s="93">
        <v>44527.41543981482</v>
      </c>
      <c r="X39" s="100">
        <v>44527</v>
      </c>
      <c r="Y39" s="97" t="s">
        <v>738</v>
      </c>
      <c r="Z39" s="96" t="str">
        <f>HYPERLINK("https://twitter.com/kat918345/status/1464534019887050759")</f>
        <v>https://twitter.com/kat918345/status/1464534019887050759</v>
      </c>
      <c r="AA39" s="90"/>
      <c r="AB39" s="90"/>
      <c r="AC39" s="97" t="s">
        <v>990</v>
      </c>
      <c r="AD39" s="97" t="s">
        <v>1229</v>
      </c>
      <c r="AE39" s="90" t="b">
        <v>0</v>
      </c>
      <c r="AF39" s="90">
        <v>0</v>
      </c>
      <c r="AG39" s="97" t="s">
        <v>1346</v>
      </c>
      <c r="AH39" s="90" t="b">
        <v>0</v>
      </c>
      <c r="AI39" s="90" t="s">
        <v>1442</v>
      </c>
      <c r="AJ39" s="90"/>
      <c r="AK39" s="97" t="s">
        <v>1338</v>
      </c>
      <c r="AL39" s="90" t="b">
        <v>0</v>
      </c>
      <c r="AM39" s="90">
        <v>0</v>
      </c>
      <c r="AN39" s="97" t="s">
        <v>1338</v>
      </c>
      <c r="AO39" s="97" t="s">
        <v>1452</v>
      </c>
      <c r="AP39" s="90" t="b">
        <v>0</v>
      </c>
      <c r="AQ39" s="97" t="s">
        <v>1229</v>
      </c>
      <c r="AR39" s="90" t="s">
        <v>187</v>
      </c>
      <c r="AS39" s="90">
        <v>0</v>
      </c>
      <c r="AT39" s="90">
        <v>0</v>
      </c>
      <c r="AU39" s="90"/>
      <c r="AV39" s="90"/>
      <c r="AW39" s="90"/>
      <c r="AX39" s="90"/>
      <c r="AY39" s="90"/>
      <c r="AZ39" s="90"/>
      <c r="BA39" s="90"/>
      <c r="BB39" s="90"/>
      <c r="BC39">
        <v>1</v>
      </c>
      <c r="BD39" s="89" t="str">
        <f>REPLACE(INDEX(GroupVertices[Group],MATCH(Edges[[#This Row],[Vertex 1]],GroupVertices[Vertex],0)),1,1,"")</f>
        <v>27</v>
      </c>
      <c r="BE39" s="89" t="str">
        <f>REPLACE(INDEX(GroupVertices[Group],MATCH(Edges[[#This Row],[Vertex 2]],GroupVertices[Vertex],0)),1,1,"")</f>
        <v>27</v>
      </c>
      <c r="BF39" s="49">
        <v>0</v>
      </c>
      <c r="BG39" s="50">
        <v>0</v>
      </c>
      <c r="BH39" s="49">
        <v>0</v>
      </c>
      <c r="BI39" s="50">
        <v>0</v>
      </c>
      <c r="BJ39" s="49">
        <v>0</v>
      </c>
      <c r="BK39" s="50">
        <v>0</v>
      </c>
      <c r="BL39" s="49">
        <v>43</v>
      </c>
      <c r="BM39" s="50">
        <v>100</v>
      </c>
      <c r="BN39" s="49">
        <v>43</v>
      </c>
    </row>
    <row r="40" spans="1:66" ht="15">
      <c r="A40" s="65" t="s">
        <v>245</v>
      </c>
      <c r="B40" s="65" t="s">
        <v>388</v>
      </c>
      <c r="C40" s="66" t="s">
        <v>5817</v>
      </c>
      <c r="D40" s="67">
        <v>1</v>
      </c>
      <c r="E40" s="68" t="s">
        <v>132</v>
      </c>
      <c r="F40" s="69">
        <v>32</v>
      </c>
      <c r="G40" s="66" t="s">
        <v>51</v>
      </c>
      <c r="H40" s="70"/>
      <c r="I40" s="71"/>
      <c r="J40" s="71"/>
      <c r="K40" s="35" t="s">
        <v>65</v>
      </c>
      <c r="L40" s="79">
        <v>40</v>
      </c>
      <c r="M40" s="79"/>
      <c r="N40" s="73"/>
      <c r="O40" s="90" t="s">
        <v>524</v>
      </c>
      <c r="P40" s="93">
        <v>44526.85875</v>
      </c>
      <c r="Q40" s="90" t="s">
        <v>542</v>
      </c>
      <c r="R40" s="90"/>
      <c r="S40" s="90"/>
      <c r="T40" s="90"/>
      <c r="U40" s="90"/>
      <c r="V40" s="96" t="str">
        <f>HYPERLINK("https://pbs.twimg.com/profile_images/1211186146711134209/FVY6G-8__normal.jpg")</f>
        <v>https://pbs.twimg.com/profile_images/1211186146711134209/FVY6G-8__normal.jpg</v>
      </c>
      <c r="W40" s="93">
        <v>44526.85875</v>
      </c>
      <c r="X40" s="100">
        <v>44526</v>
      </c>
      <c r="Y40" s="97" t="s">
        <v>739</v>
      </c>
      <c r="Z40" s="96" t="str">
        <f>HYPERLINK("https://twitter.com/kilpirinne_veli/status/1464332281959620608")</f>
        <v>https://twitter.com/kilpirinne_veli/status/1464332281959620608</v>
      </c>
      <c r="AA40" s="90"/>
      <c r="AB40" s="90"/>
      <c r="AC40" s="97" t="s">
        <v>991</v>
      </c>
      <c r="AD40" s="97" t="s">
        <v>1230</v>
      </c>
      <c r="AE40" s="90" t="b">
        <v>0</v>
      </c>
      <c r="AF40" s="90">
        <v>23</v>
      </c>
      <c r="AG40" s="97" t="s">
        <v>1347</v>
      </c>
      <c r="AH40" s="90" t="b">
        <v>0</v>
      </c>
      <c r="AI40" s="90" t="s">
        <v>1442</v>
      </c>
      <c r="AJ40" s="90"/>
      <c r="AK40" s="97" t="s">
        <v>1338</v>
      </c>
      <c r="AL40" s="90" t="b">
        <v>0</v>
      </c>
      <c r="AM40" s="90">
        <v>1</v>
      </c>
      <c r="AN40" s="97" t="s">
        <v>1338</v>
      </c>
      <c r="AO40" s="97" t="s">
        <v>1451</v>
      </c>
      <c r="AP40" s="90" t="b">
        <v>0</v>
      </c>
      <c r="AQ40" s="97" t="s">
        <v>1230</v>
      </c>
      <c r="AR40" s="90" t="s">
        <v>187</v>
      </c>
      <c r="AS40" s="90">
        <v>0</v>
      </c>
      <c r="AT40" s="90">
        <v>0</v>
      </c>
      <c r="AU40" s="90"/>
      <c r="AV40" s="90"/>
      <c r="AW40" s="90"/>
      <c r="AX40" s="90"/>
      <c r="AY40" s="90"/>
      <c r="AZ40" s="90"/>
      <c r="BA40" s="90"/>
      <c r="BB40" s="90"/>
      <c r="BC40">
        <v>1</v>
      </c>
      <c r="BD40" s="89" t="str">
        <f>REPLACE(INDEX(GroupVertices[Group],MATCH(Edges[[#This Row],[Vertex 1]],GroupVertices[Vertex],0)),1,1,"")</f>
        <v>7</v>
      </c>
      <c r="BE40" s="89" t="str">
        <f>REPLACE(INDEX(GroupVertices[Group],MATCH(Edges[[#This Row],[Vertex 2]],GroupVertices[Vertex],0)),1,1,"")</f>
        <v>7</v>
      </c>
      <c r="BF40" s="49"/>
      <c r="BG40" s="50"/>
      <c r="BH40" s="49"/>
      <c r="BI40" s="50"/>
      <c r="BJ40" s="49"/>
      <c r="BK40" s="50"/>
      <c r="BL40" s="49"/>
      <c r="BM40" s="50"/>
      <c r="BN40" s="49"/>
    </row>
    <row r="41" spans="1:66" ht="15">
      <c r="A41" s="65" t="s">
        <v>245</v>
      </c>
      <c r="B41" s="65" t="s">
        <v>393</v>
      </c>
      <c r="C41" s="66" t="s">
        <v>5817</v>
      </c>
      <c r="D41" s="67">
        <v>1</v>
      </c>
      <c r="E41" s="68" t="s">
        <v>132</v>
      </c>
      <c r="F41" s="69">
        <v>32</v>
      </c>
      <c r="G41" s="66" t="s">
        <v>51</v>
      </c>
      <c r="H41" s="70"/>
      <c r="I41" s="71"/>
      <c r="J41" s="71"/>
      <c r="K41" s="35" t="s">
        <v>65</v>
      </c>
      <c r="L41" s="79">
        <v>41</v>
      </c>
      <c r="M41" s="79"/>
      <c r="N41" s="73"/>
      <c r="O41" s="90" t="s">
        <v>523</v>
      </c>
      <c r="P41" s="93">
        <v>44526.85875</v>
      </c>
      <c r="Q41" s="90" t="s">
        <v>542</v>
      </c>
      <c r="R41" s="90"/>
      <c r="S41" s="90"/>
      <c r="T41" s="90"/>
      <c r="U41" s="90"/>
      <c r="V41" s="96" t="str">
        <f>HYPERLINK("https://pbs.twimg.com/profile_images/1211186146711134209/FVY6G-8__normal.jpg")</f>
        <v>https://pbs.twimg.com/profile_images/1211186146711134209/FVY6G-8__normal.jpg</v>
      </c>
      <c r="W41" s="93">
        <v>44526.85875</v>
      </c>
      <c r="X41" s="100">
        <v>44526</v>
      </c>
      <c r="Y41" s="97" t="s">
        <v>739</v>
      </c>
      <c r="Z41" s="96" t="str">
        <f>HYPERLINK("https://twitter.com/kilpirinne_veli/status/1464332281959620608")</f>
        <v>https://twitter.com/kilpirinne_veli/status/1464332281959620608</v>
      </c>
      <c r="AA41" s="90"/>
      <c r="AB41" s="90"/>
      <c r="AC41" s="97" t="s">
        <v>991</v>
      </c>
      <c r="AD41" s="97" t="s">
        <v>1230</v>
      </c>
      <c r="AE41" s="90" t="b">
        <v>0</v>
      </c>
      <c r="AF41" s="90">
        <v>23</v>
      </c>
      <c r="AG41" s="97" t="s">
        <v>1347</v>
      </c>
      <c r="AH41" s="90" t="b">
        <v>0</v>
      </c>
      <c r="AI41" s="90" t="s">
        <v>1442</v>
      </c>
      <c r="AJ41" s="90"/>
      <c r="AK41" s="97" t="s">
        <v>1338</v>
      </c>
      <c r="AL41" s="90" t="b">
        <v>0</v>
      </c>
      <c r="AM41" s="90">
        <v>1</v>
      </c>
      <c r="AN41" s="97" t="s">
        <v>1338</v>
      </c>
      <c r="AO41" s="97" t="s">
        <v>1451</v>
      </c>
      <c r="AP41" s="90" t="b">
        <v>0</v>
      </c>
      <c r="AQ41" s="97" t="s">
        <v>1230</v>
      </c>
      <c r="AR41" s="90" t="s">
        <v>187</v>
      </c>
      <c r="AS41" s="90">
        <v>0</v>
      </c>
      <c r="AT41" s="90">
        <v>0</v>
      </c>
      <c r="AU41" s="90"/>
      <c r="AV41" s="90"/>
      <c r="AW41" s="90"/>
      <c r="AX41" s="90"/>
      <c r="AY41" s="90"/>
      <c r="AZ41" s="90"/>
      <c r="BA41" s="90"/>
      <c r="BB41" s="90"/>
      <c r="BC41">
        <v>1</v>
      </c>
      <c r="BD41" s="89" t="str">
        <f>REPLACE(INDEX(GroupVertices[Group],MATCH(Edges[[#This Row],[Vertex 1]],GroupVertices[Vertex],0)),1,1,"")</f>
        <v>7</v>
      </c>
      <c r="BE41" s="89" t="str">
        <f>REPLACE(INDEX(GroupVertices[Group],MATCH(Edges[[#This Row],[Vertex 2]],GroupVertices[Vertex],0)),1,1,"")</f>
        <v>7</v>
      </c>
      <c r="BF41" s="49">
        <v>0</v>
      </c>
      <c r="BG41" s="50">
        <v>0</v>
      </c>
      <c r="BH41" s="49">
        <v>0</v>
      </c>
      <c r="BI41" s="50">
        <v>0</v>
      </c>
      <c r="BJ41" s="49">
        <v>0</v>
      </c>
      <c r="BK41" s="50">
        <v>0</v>
      </c>
      <c r="BL41" s="49">
        <v>30</v>
      </c>
      <c r="BM41" s="50">
        <v>100</v>
      </c>
      <c r="BN41" s="49">
        <v>30</v>
      </c>
    </row>
    <row r="42" spans="1:66" ht="15">
      <c r="A42" s="65" t="s">
        <v>246</v>
      </c>
      <c r="B42" s="65" t="s">
        <v>245</v>
      </c>
      <c r="C42" s="66" t="s">
        <v>5817</v>
      </c>
      <c r="D42" s="67">
        <v>1</v>
      </c>
      <c r="E42" s="68" t="s">
        <v>132</v>
      </c>
      <c r="F42" s="69">
        <v>32</v>
      </c>
      <c r="G42" s="66" t="s">
        <v>51</v>
      </c>
      <c r="H42" s="70"/>
      <c r="I42" s="71"/>
      <c r="J42" s="71"/>
      <c r="K42" s="35" t="s">
        <v>65</v>
      </c>
      <c r="L42" s="79">
        <v>42</v>
      </c>
      <c r="M42" s="79"/>
      <c r="N42" s="73"/>
      <c r="O42" s="90" t="s">
        <v>522</v>
      </c>
      <c r="P42" s="93">
        <v>44527.46240740741</v>
      </c>
      <c r="Q42" s="90" t="s">
        <v>542</v>
      </c>
      <c r="R42" s="90"/>
      <c r="S42" s="90"/>
      <c r="T42" s="90"/>
      <c r="U42" s="90"/>
      <c r="V42" s="96" t="str">
        <f>HYPERLINK("https://pbs.twimg.com/profile_images/979711513744338946/DFAs3RJO_normal.jpg")</f>
        <v>https://pbs.twimg.com/profile_images/979711513744338946/DFAs3RJO_normal.jpg</v>
      </c>
      <c r="W42" s="93">
        <v>44527.46240740741</v>
      </c>
      <c r="X42" s="100">
        <v>44527</v>
      </c>
      <c r="Y42" s="97" t="s">
        <v>740</v>
      </c>
      <c r="Z42" s="96" t="str">
        <f>HYPERLINK("https://twitter.com/etelanmies/status/1464551039550558211")</f>
        <v>https://twitter.com/etelanmies/status/1464551039550558211</v>
      </c>
      <c r="AA42" s="90"/>
      <c r="AB42" s="90"/>
      <c r="AC42" s="97" t="s">
        <v>992</v>
      </c>
      <c r="AD42" s="90"/>
      <c r="AE42" s="90" t="b">
        <v>0</v>
      </c>
      <c r="AF42" s="90">
        <v>0</v>
      </c>
      <c r="AG42" s="97" t="s">
        <v>1338</v>
      </c>
      <c r="AH42" s="90" t="b">
        <v>0</v>
      </c>
      <c r="AI42" s="90" t="s">
        <v>1442</v>
      </c>
      <c r="AJ42" s="90"/>
      <c r="AK42" s="97" t="s">
        <v>1338</v>
      </c>
      <c r="AL42" s="90" t="b">
        <v>0</v>
      </c>
      <c r="AM42" s="90">
        <v>1</v>
      </c>
      <c r="AN42" s="97" t="s">
        <v>991</v>
      </c>
      <c r="AO42" s="97" t="s">
        <v>1452</v>
      </c>
      <c r="AP42" s="90" t="b">
        <v>0</v>
      </c>
      <c r="AQ42" s="97" t="s">
        <v>991</v>
      </c>
      <c r="AR42" s="90" t="s">
        <v>187</v>
      </c>
      <c r="AS42" s="90">
        <v>0</v>
      </c>
      <c r="AT42" s="90">
        <v>0</v>
      </c>
      <c r="AU42" s="90"/>
      <c r="AV42" s="90"/>
      <c r="AW42" s="90"/>
      <c r="AX42" s="90"/>
      <c r="AY42" s="90"/>
      <c r="AZ42" s="90"/>
      <c r="BA42" s="90"/>
      <c r="BB42" s="90"/>
      <c r="BC42">
        <v>1</v>
      </c>
      <c r="BD42" s="89" t="str">
        <f>REPLACE(INDEX(GroupVertices[Group],MATCH(Edges[[#This Row],[Vertex 1]],GroupVertices[Vertex],0)),1,1,"")</f>
        <v>7</v>
      </c>
      <c r="BE42" s="89" t="str">
        <f>REPLACE(INDEX(GroupVertices[Group],MATCH(Edges[[#This Row],[Vertex 2]],GroupVertices[Vertex],0)),1,1,"")</f>
        <v>7</v>
      </c>
      <c r="BF42" s="49"/>
      <c r="BG42" s="50"/>
      <c r="BH42" s="49"/>
      <c r="BI42" s="50"/>
      <c r="BJ42" s="49"/>
      <c r="BK42" s="50"/>
      <c r="BL42" s="49"/>
      <c r="BM42" s="50"/>
      <c r="BN42" s="49"/>
    </row>
    <row r="43" spans="1:66" ht="15">
      <c r="A43" s="65" t="s">
        <v>246</v>
      </c>
      <c r="B43" s="65" t="s">
        <v>393</v>
      </c>
      <c r="C43" s="66" t="s">
        <v>5817</v>
      </c>
      <c r="D43" s="67">
        <v>1</v>
      </c>
      <c r="E43" s="68" t="s">
        <v>132</v>
      </c>
      <c r="F43" s="69">
        <v>32</v>
      </c>
      <c r="G43" s="66" t="s">
        <v>51</v>
      </c>
      <c r="H43" s="70"/>
      <c r="I43" s="71"/>
      <c r="J43" s="71"/>
      <c r="K43" s="35" t="s">
        <v>65</v>
      </c>
      <c r="L43" s="79">
        <v>43</v>
      </c>
      <c r="M43" s="79"/>
      <c r="N43" s="73"/>
      <c r="O43" s="90" t="s">
        <v>523</v>
      </c>
      <c r="P43" s="93">
        <v>44527.46240740741</v>
      </c>
      <c r="Q43" s="90" t="s">
        <v>542</v>
      </c>
      <c r="R43" s="90"/>
      <c r="S43" s="90"/>
      <c r="T43" s="90"/>
      <c r="U43" s="90"/>
      <c r="V43" s="96" t="str">
        <f>HYPERLINK("https://pbs.twimg.com/profile_images/979711513744338946/DFAs3RJO_normal.jpg")</f>
        <v>https://pbs.twimg.com/profile_images/979711513744338946/DFAs3RJO_normal.jpg</v>
      </c>
      <c r="W43" s="93">
        <v>44527.46240740741</v>
      </c>
      <c r="X43" s="100">
        <v>44527</v>
      </c>
      <c r="Y43" s="97" t="s">
        <v>740</v>
      </c>
      <c r="Z43" s="96" t="str">
        <f>HYPERLINK("https://twitter.com/etelanmies/status/1464551039550558211")</f>
        <v>https://twitter.com/etelanmies/status/1464551039550558211</v>
      </c>
      <c r="AA43" s="90"/>
      <c r="AB43" s="90"/>
      <c r="AC43" s="97" t="s">
        <v>992</v>
      </c>
      <c r="AD43" s="90"/>
      <c r="AE43" s="90" t="b">
        <v>0</v>
      </c>
      <c r="AF43" s="90">
        <v>0</v>
      </c>
      <c r="AG43" s="97" t="s">
        <v>1338</v>
      </c>
      <c r="AH43" s="90" t="b">
        <v>0</v>
      </c>
      <c r="AI43" s="90" t="s">
        <v>1442</v>
      </c>
      <c r="AJ43" s="90"/>
      <c r="AK43" s="97" t="s">
        <v>1338</v>
      </c>
      <c r="AL43" s="90" t="b">
        <v>0</v>
      </c>
      <c r="AM43" s="90">
        <v>1</v>
      </c>
      <c r="AN43" s="97" t="s">
        <v>991</v>
      </c>
      <c r="AO43" s="97" t="s">
        <v>1452</v>
      </c>
      <c r="AP43" s="90" t="b">
        <v>0</v>
      </c>
      <c r="AQ43" s="97" t="s">
        <v>991</v>
      </c>
      <c r="AR43" s="90" t="s">
        <v>187</v>
      </c>
      <c r="AS43" s="90">
        <v>0</v>
      </c>
      <c r="AT43" s="90">
        <v>0</v>
      </c>
      <c r="AU43" s="90"/>
      <c r="AV43" s="90"/>
      <c r="AW43" s="90"/>
      <c r="AX43" s="90"/>
      <c r="AY43" s="90"/>
      <c r="AZ43" s="90"/>
      <c r="BA43" s="90"/>
      <c r="BB43" s="90"/>
      <c r="BC43">
        <v>1</v>
      </c>
      <c r="BD43" s="89" t="str">
        <f>REPLACE(INDEX(GroupVertices[Group],MATCH(Edges[[#This Row],[Vertex 1]],GroupVertices[Vertex],0)),1,1,"")</f>
        <v>7</v>
      </c>
      <c r="BE43" s="89" t="str">
        <f>REPLACE(INDEX(GroupVertices[Group],MATCH(Edges[[#This Row],[Vertex 2]],GroupVertices[Vertex],0)),1,1,"")</f>
        <v>7</v>
      </c>
      <c r="BF43" s="49"/>
      <c r="BG43" s="50"/>
      <c r="BH43" s="49"/>
      <c r="BI43" s="50"/>
      <c r="BJ43" s="49"/>
      <c r="BK43" s="50"/>
      <c r="BL43" s="49"/>
      <c r="BM43" s="50"/>
      <c r="BN43" s="49"/>
    </row>
    <row r="44" spans="1:66" ht="15">
      <c r="A44" s="65" t="s">
        <v>246</v>
      </c>
      <c r="B44" s="65" t="s">
        <v>388</v>
      </c>
      <c r="C44" s="66" t="s">
        <v>5817</v>
      </c>
      <c r="D44" s="67">
        <v>1</v>
      </c>
      <c r="E44" s="68" t="s">
        <v>132</v>
      </c>
      <c r="F44" s="69">
        <v>32</v>
      </c>
      <c r="G44" s="66" t="s">
        <v>51</v>
      </c>
      <c r="H44" s="70"/>
      <c r="I44" s="71"/>
      <c r="J44" s="71"/>
      <c r="K44" s="35" t="s">
        <v>65</v>
      </c>
      <c r="L44" s="79">
        <v>44</v>
      </c>
      <c r="M44" s="79"/>
      <c r="N44" s="73"/>
      <c r="O44" s="90" t="s">
        <v>525</v>
      </c>
      <c r="P44" s="93">
        <v>44527.46240740741</v>
      </c>
      <c r="Q44" s="90" t="s">
        <v>542</v>
      </c>
      <c r="R44" s="90"/>
      <c r="S44" s="90"/>
      <c r="T44" s="90"/>
      <c r="U44" s="90"/>
      <c r="V44" s="96" t="str">
        <f>HYPERLINK("https://pbs.twimg.com/profile_images/979711513744338946/DFAs3RJO_normal.jpg")</f>
        <v>https://pbs.twimg.com/profile_images/979711513744338946/DFAs3RJO_normal.jpg</v>
      </c>
      <c r="W44" s="93">
        <v>44527.46240740741</v>
      </c>
      <c r="X44" s="100">
        <v>44527</v>
      </c>
      <c r="Y44" s="97" t="s">
        <v>740</v>
      </c>
      <c r="Z44" s="96" t="str">
        <f>HYPERLINK("https://twitter.com/etelanmies/status/1464551039550558211")</f>
        <v>https://twitter.com/etelanmies/status/1464551039550558211</v>
      </c>
      <c r="AA44" s="90"/>
      <c r="AB44" s="90"/>
      <c r="AC44" s="97" t="s">
        <v>992</v>
      </c>
      <c r="AD44" s="90"/>
      <c r="AE44" s="90" t="b">
        <v>0</v>
      </c>
      <c r="AF44" s="90">
        <v>0</v>
      </c>
      <c r="AG44" s="97" t="s">
        <v>1338</v>
      </c>
      <c r="AH44" s="90" t="b">
        <v>0</v>
      </c>
      <c r="AI44" s="90" t="s">
        <v>1442</v>
      </c>
      <c r="AJ44" s="90"/>
      <c r="AK44" s="97" t="s">
        <v>1338</v>
      </c>
      <c r="AL44" s="90" t="b">
        <v>0</v>
      </c>
      <c r="AM44" s="90">
        <v>1</v>
      </c>
      <c r="AN44" s="97" t="s">
        <v>991</v>
      </c>
      <c r="AO44" s="97" t="s">
        <v>1452</v>
      </c>
      <c r="AP44" s="90" t="b">
        <v>0</v>
      </c>
      <c r="AQ44" s="97" t="s">
        <v>991</v>
      </c>
      <c r="AR44" s="90" t="s">
        <v>187</v>
      </c>
      <c r="AS44" s="90">
        <v>0</v>
      </c>
      <c r="AT44" s="90">
        <v>0</v>
      </c>
      <c r="AU44" s="90"/>
      <c r="AV44" s="90"/>
      <c r="AW44" s="90"/>
      <c r="AX44" s="90"/>
      <c r="AY44" s="90"/>
      <c r="AZ44" s="90"/>
      <c r="BA44" s="90"/>
      <c r="BB44" s="90"/>
      <c r="BC44">
        <v>1</v>
      </c>
      <c r="BD44" s="89" t="str">
        <f>REPLACE(INDEX(GroupVertices[Group],MATCH(Edges[[#This Row],[Vertex 1]],GroupVertices[Vertex],0)),1,1,"")</f>
        <v>7</v>
      </c>
      <c r="BE44" s="89" t="str">
        <f>REPLACE(INDEX(GroupVertices[Group],MATCH(Edges[[#This Row],[Vertex 2]],GroupVertices[Vertex],0)),1,1,"")</f>
        <v>7</v>
      </c>
      <c r="BF44" s="49">
        <v>0</v>
      </c>
      <c r="BG44" s="50">
        <v>0</v>
      </c>
      <c r="BH44" s="49">
        <v>0</v>
      </c>
      <c r="BI44" s="50">
        <v>0</v>
      </c>
      <c r="BJ44" s="49">
        <v>0</v>
      </c>
      <c r="BK44" s="50">
        <v>0</v>
      </c>
      <c r="BL44" s="49">
        <v>30</v>
      </c>
      <c r="BM44" s="50">
        <v>100</v>
      </c>
      <c r="BN44" s="49">
        <v>30</v>
      </c>
    </row>
    <row r="45" spans="1:66" ht="15">
      <c r="A45" s="65" t="s">
        <v>247</v>
      </c>
      <c r="B45" s="65" t="s">
        <v>394</v>
      </c>
      <c r="C45" s="66" t="s">
        <v>5817</v>
      </c>
      <c r="D45" s="67">
        <v>1</v>
      </c>
      <c r="E45" s="68" t="s">
        <v>132</v>
      </c>
      <c r="F45" s="69">
        <v>32</v>
      </c>
      <c r="G45" s="66" t="s">
        <v>51</v>
      </c>
      <c r="H45" s="70"/>
      <c r="I45" s="71"/>
      <c r="J45" s="71"/>
      <c r="K45" s="35" t="s">
        <v>65</v>
      </c>
      <c r="L45" s="79">
        <v>45</v>
      </c>
      <c r="M45" s="79"/>
      <c r="N45" s="73"/>
      <c r="O45" s="90" t="s">
        <v>524</v>
      </c>
      <c r="P45" s="93">
        <v>44527.52935185185</v>
      </c>
      <c r="Q45" s="90" t="s">
        <v>543</v>
      </c>
      <c r="R45" s="90"/>
      <c r="S45" s="90"/>
      <c r="T45" s="90"/>
      <c r="U45" s="90"/>
      <c r="V45" s="96" t="str">
        <f>HYPERLINK("https://pbs.twimg.com/profile_images/1002192169665474562/3FimsmuY_normal.jpg")</f>
        <v>https://pbs.twimg.com/profile_images/1002192169665474562/3FimsmuY_normal.jpg</v>
      </c>
      <c r="W45" s="93">
        <v>44527.52935185185</v>
      </c>
      <c r="X45" s="100">
        <v>44527</v>
      </c>
      <c r="Y45" s="97" t="s">
        <v>741</v>
      </c>
      <c r="Z45" s="96" t="str">
        <f>HYPERLINK("https://twitter.com/hirvonenjo/status/1464575300361142289")</f>
        <v>https://twitter.com/hirvonenjo/status/1464575300361142289</v>
      </c>
      <c r="AA45" s="90"/>
      <c r="AB45" s="90"/>
      <c r="AC45" s="97" t="s">
        <v>993</v>
      </c>
      <c r="AD45" s="97" t="s">
        <v>1231</v>
      </c>
      <c r="AE45" s="90" t="b">
        <v>0</v>
      </c>
      <c r="AF45" s="90">
        <v>1</v>
      </c>
      <c r="AG45" s="97" t="s">
        <v>1348</v>
      </c>
      <c r="AH45" s="90" t="b">
        <v>0</v>
      </c>
      <c r="AI45" s="90" t="s">
        <v>1442</v>
      </c>
      <c r="AJ45" s="90"/>
      <c r="AK45" s="97" t="s">
        <v>1338</v>
      </c>
      <c r="AL45" s="90" t="b">
        <v>0</v>
      </c>
      <c r="AM45" s="90">
        <v>0</v>
      </c>
      <c r="AN45" s="97" t="s">
        <v>1338</v>
      </c>
      <c r="AO45" s="97" t="s">
        <v>1452</v>
      </c>
      <c r="AP45" s="90" t="b">
        <v>0</v>
      </c>
      <c r="AQ45" s="97" t="s">
        <v>1231</v>
      </c>
      <c r="AR45" s="90" t="s">
        <v>187</v>
      </c>
      <c r="AS45" s="90">
        <v>0</v>
      </c>
      <c r="AT45" s="90">
        <v>0</v>
      </c>
      <c r="AU45" s="90"/>
      <c r="AV45" s="90"/>
      <c r="AW45" s="90"/>
      <c r="AX45" s="90"/>
      <c r="AY45" s="90"/>
      <c r="AZ45" s="90"/>
      <c r="BA45" s="90"/>
      <c r="BB45" s="90"/>
      <c r="BC45">
        <v>1</v>
      </c>
      <c r="BD45" s="89" t="str">
        <f>REPLACE(INDEX(GroupVertices[Group],MATCH(Edges[[#This Row],[Vertex 1]],GroupVertices[Vertex],0)),1,1,"")</f>
        <v>14</v>
      </c>
      <c r="BE45" s="89" t="str">
        <f>REPLACE(INDEX(GroupVertices[Group],MATCH(Edges[[#This Row],[Vertex 2]],GroupVertices[Vertex],0)),1,1,"")</f>
        <v>14</v>
      </c>
      <c r="BF45" s="49"/>
      <c r="BG45" s="50"/>
      <c r="BH45" s="49"/>
      <c r="BI45" s="50"/>
      <c r="BJ45" s="49"/>
      <c r="BK45" s="50"/>
      <c r="BL45" s="49"/>
      <c r="BM45" s="50"/>
      <c r="BN45" s="49"/>
    </row>
    <row r="46" spans="1:66" ht="15">
      <c r="A46" s="65" t="s">
        <v>247</v>
      </c>
      <c r="B46" s="65" t="s">
        <v>395</v>
      </c>
      <c r="C46" s="66" t="s">
        <v>5817</v>
      </c>
      <c r="D46" s="67">
        <v>1</v>
      </c>
      <c r="E46" s="68" t="s">
        <v>132</v>
      </c>
      <c r="F46" s="69">
        <v>32</v>
      </c>
      <c r="G46" s="66" t="s">
        <v>51</v>
      </c>
      <c r="H46" s="70"/>
      <c r="I46" s="71"/>
      <c r="J46" s="71"/>
      <c r="K46" s="35" t="s">
        <v>65</v>
      </c>
      <c r="L46" s="79">
        <v>46</v>
      </c>
      <c r="M46" s="79"/>
      <c r="N46" s="73"/>
      <c r="O46" s="90" t="s">
        <v>523</v>
      </c>
      <c r="P46" s="93">
        <v>44527.52935185185</v>
      </c>
      <c r="Q46" s="90" t="s">
        <v>543</v>
      </c>
      <c r="R46" s="90"/>
      <c r="S46" s="90"/>
      <c r="T46" s="90"/>
      <c r="U46" s="90"/>
      <c r="V46" s="96" t="str">
        <f>HYPERLINK("https://pbs.twimg.com/profile_images/1002192169665474562/3FimsmuY_normal.jpg")</f>
        <v>https://pbs.twimg.com/profile_images/1002192169665474562/3FimsmuY_normal.jpg</v>
      </c>
      <c r="W46" s="93">
        <v>44527.52935185185</v>
      </c>
      <c r="X46" s="100">
        <v>44527</v>
      </c>
      <c r="Y46" s="97" t="s">
        <v>741</v>
      </c>
      <c r="Z46" s="96" t="str">
        <f>HYPERLINK("https://twitter.com/hirvonenjo/status/1464575300361142289")</f>
        <v>https://twitter.com/hirvonenjo/status/1464575300361142289</v>
      </c>
      <c r="AA46" s="90"/>
      <c r="AB46" s="90"/>
      <c r="AC46" s="97" t="s">
        <v>993</v>
      </c>
      <c r="AD46" s="97" t="s">
        <v>1231</v>
      </c>
      <c r="AE46" s="90" t="b">
        <v>0</v>
      </c>
      <c r="AF46" s="90">
        <v>1</v>
      </c>
      <c r="AG46" s="97" t="s">
        <v>1348</v>
      </c>
      <c r="AH46" s="90" t="b">
        <v>0</v>
      </c>
      <c r="AI46" s="90" t="s">
        <v>1442</v>
      </c>
      <c r="AJ46" s="90"/>
      <c r="AK46" s="97" t="s">
        <v>1338</v>
      </c>
      <c r="AL46" s="90" t="b">
        <v>0</v>
      </c>
      <c r="AM46" s="90">
        <v>0</v>
      </c>
      <c r="AN46" s="97" t="s">
        <v>1338</v>
      </c>
      <c r="AO46" s="97" t="s">
        <v>1452</v>
      </c>
      <c r="AP46" s="90" t="b">
        <v>0</v>
      </c>
      <c r="AQ46" s="97" t="s">
        <v>1231</v>
      </c>
      <c r="AR46" s="90" t="s">
        <v>187</v>
      </c>
      <c r="AS46" s="90">
        <v>0</v>
      </c>
      <c r="AT46" s="90">
        <v>0</v>
      </c>
      <c r="AU46" s="90"/>
      <c r="AV46" s="90"/>
      <c r="AW46" s="90"/>
      <c r="AX46" s="90"/>
      <c r="AY46" s="90"/>
      <c r="AZ46" s="90"/>
      <c r="BA46" s="90"/>
      <c r="BB46" s="90"/>
      <c r="BC46">
        <v>1</v>
      </c>
      <c r="BD46" s="89" t="str">
        <f>REPLACE(INDEX(GroupVertices[Group],MATCH(Edges[[#This Row],[Vertex 1]],GroupVertices[Vertex],0)),1,1,"")</f>
        <v>14</v>
      </c>
      <c r="BE46" s="89" t="str">
        <f>REPLACE(INDEX(GroupVertices[Group],MATCH(Edges[[#This Row],[Vertex 2]],GroupVertices[Vertex],0)),1,1,"")</f>
        <v>14</v>
      </c>
      <c r="BF46" s="49">
        <v>0</v>
      </c>
      <c r="BG46" s="50">
        <v>0</v>
      </c>
      <c r="BH46" s="49">
        <v>0</v>
      </c>
      <c r="BI46" s="50">
        <v>0</v>
      </c>
      <c r="BJ46" s="49">
        <v>0</v>
      </c>
      <c r="BK46" s="50">
        <v>0</v>
      </c>
      <c r="BL46" s="49">
        <v>19</v>
      </c>
      <c r="BM46" s="50">
        <v>100</v>
      </c>
      <c r="BN46" s="49">
        <v>19</v>
      </c>
    </row>
    <row r="47" spans="1:66" ht="15">
      <c r="A47" s="65" t="s">
        <v>247</v>
      </c>
      <c r="B47" s="65" t="s">
        <v>247</v>
      </c>
      <c r="C47" s="66" t="s">
        <v>5817</v>
      </c>
      <c r="D47" s="67">
        <v>1</v>
      </c>
      <c r="E47" s="68" t="s">
        <v>132</v>
      </c>
      <c r="F47" s="69">
        <v>32</v>
      </c>
      <c r="G47" s="66" t="s">
        <v>51</v>
      </c>
      <c r="H47" s="70"/>
      <c r="I47" s="71"/>
      <c r="J47" s="71"/>
      <c r="K47" s="35" t="s">
        <v>65</v>
      </c>
      <c r="L47" s="79">
        <v>47</v>
      </c>
      <c r="M47" s="79"/>
      <c r="N47" s="73"/>
      <c r="O47" s="90" t="s">
        <v>187</v>
      </c>
      <c r="P47" s="93">
        <v>44526.81452546296</v>
      </c>
      <c r="Q47" s="90" t="s">
        <v>539</v>
      </c>
      <c r="R47" s="90"/>
      <c r="S47" s="90"/>
      <c r="T47" s="90"/>
      <c r="U47" s="96" t="str">
        <f>HYPERLINK("https://pbs.twimg.com/media/FFJL3ipX0AMtWyv.jpg")</f>
        <v>https://pbs.twimg.com/media/FFJL3ipX0AMtWyv.jpg</v>
      </c>
      <c r="V47" s="96" t="str">
        <f>HYPERLINK("https://pbs.twimg.com/media/FFJL3ipX0AMtWyv.jpg")</f>
        <v>https://pbs.twimg.com/media/FFJL3ipX0AMtWyv.jpg</v>
      </c>
      <c r="W47" s="93">
        <v>44526.81452546296</v>
      </c>
      <c r="X47" s="100">
        <v>44526</v>
      </c>
      <c r="Y47" s="97" t="s">
        <v>742</v>
      </c>
      <c r="Z47" s="96" t="str">
        <f>HYPERLINK("https://twitter.com/hirvonenjo/status/1464316254005731345")</f>
        <v>https://twitter.com/hirvonenjo/status/1464316254005731345</v>
      </c>
      <c r="AA47" s="90"/>
      <c r="AB47" s="90"/>
      <c r="AC47" s="97" t="s">
        <v>994</v>
      </c>
      <c r="AD47" s="90"/>
      <c r="AE47" s="90" t="b">
        <v>0</v>
      </c>
      <c r="AF47" s="90">
        <v>2</v>
      </c>
      <c r="AG47" s="97" t="s">
        <v>1338</v>
      </c>
      <c r="AH47" s="90" t="b">
        <v>0</v>
      </c>
      <c r="AI47" s="90" t="s">
        <v>1442</v>
      </c>
      <c r="AJ47" s="90"/>
      <c r="AK47" s="97" t="s">
        <v>1338</v>
      </c>
      <c r="AL47" s="90" t="b">
        <v>0</v>
      </c>
      <c r="AM47" s="90">
        <v>1</v>
      </c>
      <c r="AN47" s="97" t="s">
        <v>1338</v>
      </c>
      <c r="AO47" s="97" t="s">
        <v>1452</v>
      </c>
      <c r="AP47" s="90" t="b">
        <v>0</v>
      </c>
      <c r="AQ47" s="97" t="s">
        <v>994</v>
      </c>
      <c r="AR47" s="90" t="s">
        <v>187</v>
      </c>
      <c r="AS47" s="90">
        <v>0</v>
      </c>
      <c r="AT47" s="90">
        <v>0</v>
      </c>
      <c r="AU47" s="90"/>
      <c r="AV47" s="90"/>
      <c r="AW47" s="90"/>
      <c r="AX47" s="90"/>
      <c r="AY47" s="90"/>
      <c r="AZ47" s="90"/>
      <c r="BA47" s="90"/>
      <c r="BB47" s="90"/>
      <c r="BC47">
        <v>1</v>
      </c>
      <c r="BD47" s="89" t="str">
        <f>REPLACE(INDEX(GroupVertices[Group],MATCH(Edges[[#This Row],[Vertex 1]],GroupVertices[Vertex],0)),1,1,"")</f>
        <v>14</v>
      </c>
      <c r="BE47" s="89" t="str">
        <f>REPLACE(INDEX(GroupVertices[Group],MATCH(Edges[[#This Row],[Vertex 2]],GroupVertices[Vertex],0)),1,1,"")</f>
        <v>14</v>
      </c>
      <c r="BF47" s="49">
        <v>0</v>
      </c>
      <c r="BG47" s="50">
        <v>0</v>
      </c>
      <c r="BH47" s="49">
        <v>0</v>
      </c>
      <c r="BI47" s="50">
        <v>0</v>
      </c>
      <c r="BJ47" s="49">
        <v>0</v>
      </c>
      <c r="BK47" s="50">
        <v>0</v>
      </c>
      <c r="BL47" s="49">
        <v>19</v>
      </c>
      <c r="BM47" s="50">
        <v>100</v>
      </c>
      <c r="BN47" s="49">
        <v>19</v>
      </c>
    </row>
    <row r="48" spans="1:66" ht="15">
      <c r="A48" s="65" t="s">
        <v>248</v>
      </c>
      <c r="B48" s="65" t="s">
        <v>396</v>
      </c>
      <c r="C48" s="66" t="s">
        <v>5818</v>
      </c>
      <c r="D48" s="67">
        <v>1</v>
      </c>
      <c r="E48" s="68" t="s">
        <v>132</v>
      </c>
      <c r="F48" s="69">
        <v>32</v>
      </c>
      <c r="G48" s="66" t="s">
        <v>51</v>
      </c>
      <c r="H48" s="70"/>
      <c r="I48" s="71"/>
      <c r="J48" s="71"/>
      <c r="K48" s="35" t="s">
        <v>65</v>
      </c>
      <c r="L48" s="79">
        <v>48</v>
      </c>
      <c r="M48" s="79"/>
      <c r="N48" s="73"/>
      <c r="O48" s="90" t="s">
        <v>524</v>
      </c>
      <c r="P48" s="93">
        <v>44527.48740740741</v>
      </c>
      <c r="Q48" s="90" t="s">
        <v>544</v>
      </c>
      <c r="R48" s="90"/>
      <c r="S48" s="90"/>
      <c r="T48" s="90"/>
      <c r="U48" s="90"/>
      <c r="V48" s="96" t="str">
        <f>HYPERLINK("https://pbs.twimg.com/profile_images/1439957986408030211/EQ9eR0rS_normal.jpg")</f>
        <v>https://pbs.twimg.com/profile_images/1439957986408030211/EQ9eR0rS_normal.jpg</v>
      </c>
      <c r="W48" s="93">
        <v>44527.48740740741</v>
      </c>
      <c r="X48" s="100">
        <v>44527</v>
      </c>
      <c r="Y48" s="97" t="s">
        <v>743</v>
      </c>
      <c r="Z48" s="96" t="str">
        <f>HYPERLINK("https://twitter.com/johnpulm/status/1464560099616296964")</f>
        <v>https://twitter.com/johnpulm/status/1464560099616296964</v>
      </c>
      <c r="AA48" s="90"/>
      <c r="AB48" s="90"/>
      <c r="AC48" s="97" t="s">
        <v>995</v>
      </c>
      <c r="AD48" s="97" t="s">
        <v>1232</v>
      </c>
      <c r="AE48" s="90" t="b">
        <v>0</v>
      </c>
      <c r="AF48" s="90">
        <v>1</v>
      </c>
      <c r="AG48" s="97" t="s">
        <v>1349</v>
      </c>
      <c r="AH48" s="90" t="b">
        <v>0</v>
      </c>
      <c r="AI48" s="90" t="s">
        <v>1442</v>
      </c>
      <c r="AJ48" s="90"/>
      <c r="AK48" s="97" t="s">
        <v>1338</v>
      </c>
      <c r="AL48" s="90" t="b">
        <v>0</v>
      </c>
      <c r="AM48" s="90">
        <v>0</v>
      </c>
      <c r="AN48" s="97" t="s">
        <v>1338</v>
      </c>
      <c r="AO48" s="97" t="s">
        <v>1450</v>
      </c>
      <c r="AP48" s="90" t="b">
        <v>0</v>
      </c>
      <c r="AQ48" s="97" t="s">
        <v>1232</v>
      </c>
      <c r="AR48" s="90" t="s">
        <v>187</v>
      </c>
      <c r="AS48" s="90">
        <v>0</v>
      </c>
      <c r="AT48" s="90">
        <v>0</v>
      </c>
      <c r="AU48" s="90"/>
      <c r="AV48" s="90"/>
      <c r="AW48" s="90"/>
      <c r="AX48" s="90"/>
      <c r="AY48" s="90"/>
      <c r="AZ48" s="90"/>
      <c r="BA48" s="90"/>
      <c r="BB48" s="90"/>
      <c r="BC48">
        <v>2</v>
      </c>
      <c r="BD48" s="89" t="str">
        <f>REPLACE(INDEX(GroupVertices[Group],MATCH(Edges[[#This Row],[Vertex 1]],GroupVertices[Vertex],0)),1,1,"")</f>
        <v>9</v>
      </c>
      <c r="BE48" s="89" t="str">
        <f>REPLACE(INDEX(GroupVertices[Group],MATCH(Edges[[#This Row],[Vertex 2]],GroupVertices[Vertex],0)),1,1,"")</f>
        <v>9</v>
      </c>
      <c r="BF48" s="49"/>
      <c r="BG48" s="50"/>
      <c r="BH48" s="49"/>
      <c r="BI48" s="50"/>
      <c r="BJ48" s="49"/>
      <c r="BK48" s="50"/>
      <c r="BL48" s="49"/>
      <c r="BM48" s="50"/>
      <c r="BN48" s="49"/>
    </row>
    <row r="49" spans="1:66" ht="15">
      <c r="A49" s="65" t="s">
        <v>248</v>
      </c>
      <c r="B49" s="65" t="s">
        <v>396</v>
      </c>
      <c r="C49" s="66" t="s">
        <v>5818</v>
      </c>
      <c r="D49" s="67">
        <v>1</v>
      </c>
      <c r="E49" s="68" t="s">
        <v>132</v>
      </c>
      <c r="F49" s="69">
        <v>32</v>
      </c>
      <c r="G49" s="66" t="s">
        <v>51</v>
      </c>
      <c r="H49" s="70"/>
      <c r="I49" s="71"/>
      <c r="J49" s="71"/>
      <c r="K49" s="35" t="s">
        <v>65</v>
      </c>
      <c r="L49" s="79">
        <v>49</v>
      </c>
      <c r="M49" s="79"/>
      <c r="N49" s="73"/>
      <c r="O49" s="90" t="s">
        <v>524</v>
      </c>
      <c r="P49" s="93">
        <v>44527.57493055556</v>
      </c>
      <c r="Q49" s="90" t="s">
        <v>545</v>
      </c>
      <c r="R49" s="90"/>
      <c r="S49" s="90"/>
      <c r="T49" s="90"/>
      <c r="U49" s="90"/>
      <c r="V49" s="96" t="str">
        <f>HYPERLINK("https://pbs.twimg.com/profile_images/1439957986408030211/EQ9eR0rS_normal.jpg")</f>
        <v>https://pbs.twimg.com/profile_images/1439957986408030211/EQ9eR0rS_normal.jpg</v>
      </c>
      <c r="W49" s="93">
        <v>44527.57493055556</v>
      </c>
      <c r="X49" s="100">
        <v>44527</v>
      </c>
      <c r="Y49" s="97" t="s">
        <v>744</v>
      </c>
      <c r="Z49" s="96" t="str">
        <f>HYPERLINK("https://twitter.com/johnpulm/status/1464591817224118273")</f>
        <v>https://twitter.com/johnpulm/status/1464591817224118273</v>
      </c>
      <c r="AA49" s="90"/>
      <c r="AB49" s="90"/>
      <c r="AC49" s="97" t="s">
        <v>996</v>
      </c>
      <c r="AD49" s="97" t="s">
        <v>997</v>
      </c>
      <c r="AE49" s="90" t="b">
        <v>0</v>
      </c>
      <c r="AF49" s="90">
        <v>1</v>
      </c>
      <c r="AG49" s="97" t="s">
        <v>1350</v>
      </c>
      <c r="AH49" s="90" t="b">
        <v>0</v>
      </c>
      <c r="AI49" s="90" t="s">
        <v>1442</v>
      </c>
      <c r="AJ49" s="90"/>
      <c r="AK49" s="97" t="s">
        <v>1338</v>
      </c>
      <c r="AL49" s="90" t="b">
        <v>0</v>
      </c>
      <c r="AM49" s="90">
        <v>0</v>
      </c>
      <c r="AN49" s="97" t="s">
        <v>1338</v>
      </c>
      <c r="AO49" s="97" t="s">
        <v>1450</v>
      </c>
      <c r="AP49" s="90" t="b">
        <v>0</v>
      </c>
      <c r="AQ49" s="97" t="s">
        <v>997</v>
      </c>
      <c r="AR49" s="90" t="s">
        <v>187</v>
      </c>
      <c r="AS49" s="90">
        <v>0</v>
      </c>
      <c r="AT49" s="90">
        <v>0</v>
      </c>
      <c r="AU49" s="90"/>
      <c r="AV49" s="90"/>
      <c r="AW49" s="90"/>
      <c r="AX49" s="90"/>
      <c r="AY49" s="90"/>
      <c r="AZ49" s="90"/>
      <c r="BA49" s="90"/>
      <c r="BB49" s="90"/>
      <c r="BC49">
        <v>2</v>
      </c>
      <c r="BD49" s="89" t="str">
        <f>REPLACE(INDEX(GroupVertices[Group],MATCH(Edges[[#This Row],[Vertex 1]],GroupVertices[Vertex],0)),1,1,"")</f>
        <v>9</v>
      </c>
      <c r="BE49" s="89" t="str">
        <f>REPLACE(INDEX(GroupVertices[Group],MATCH(Edges[[#This Row],[Vertex 2]],GroupVertices[Vertex],0)),1,1,"")</f>
        <v>9</v>
      </c>
      <c r="BF49" s="49"/>
      <c r="BG49" s="50"/>
      <c r="BH49" s="49"/>
      <c r="BI49" s="50"/>
      <c r="BJ49" s="49"/>
      <c r="BK49" s="50"/>
      <c r="BL49" s="49"/>
      <c r="BM49" s="50"/>
      <c r="BN49" s="49"/>
    </row>
    <row r="50" spans="1:66" ht="15">
      <c r="A50" s="65" t="s">
        <v>249</v>
      </c>
      <c r="B50" s="65" t="s">
        <v>396</v>
      </c>
      <c r="C50" s="66" t="s">
        <v>5818</v>
      </c>
      <c r="D50" s="67">
        <v>1</v>
      </c>
      <c r="E50" s="68" t="s">
        <v>132</v>
      </c>
      <c r="F50" s="69">
        <v>32</v>
      </c>
      <c r="G50" s="66" t="s">
        <v>51</v>
      </c>
      <c r="H50" s="70"/>
      <c r="I50" s="71"/>
      <c r="J50" s="71"/>
      <c r="K50" s="35" t="s">
        <v>65</v>
      </c>
      <c r="L50" s="79">
        <v>50</v>
      </c>
      <c r="M50" s="79"/>
      <c r="N50" s="73"/>
      <c r="O50" s="90" t="s">
        <v>524</v>
      </c>
      <c r="P50" s="93">
        <v>44527.53091435185</v>
      </c>
      <c r="Q50" s="90" t="s">
        <v>546</v>
      </c>
      <c r="R50" s="90"/>
      <c r="S50" s="90"/>
      <c r="T50" s="90"/>
      <c r="U50" s="90"/>
      <c r="V50" s="96" t="str">
        <f>HYPERLINK("https://pbs.twimg.com/profile_images/1288214289489305601/8Hm-nkYT_normal.jpg")</f>
        <v>https://pbs.twimg.com/profile_images/1288214289489305601/8Hm-nkYT_normal.jpg</v>
      </c>
      <c r="W50" s="93">
        <v>44527.53091435185</v>
      </c>
      <c r="X50" s="100">
        <v>44527</v>
      </c>
      <c r="Y50" s="97" t="s">
        <v>745</v>
      </c>
      <c r="Z50" s="96" t="str">
        <f>HYPERLINK("https://twitter.com/rvalimaki/status/1464575866873303041")</f>
        <v>https://twitter.com/rvalimaki/status/1464575866873303041</v>
      </c>
      <c r="AA50" s="90"/>
      <c r="AB50" s="90"/>
      <c r="AC50" s="97" t="s">
        <v>997</v>
      </c>
      <c r="AD50" s="97" t="s">
        <v>995</v>
      </c>
      <c r="AE50" s="90" t="b">
        <v>0</v>
      </c>
      <c r="AF50" s="90">
        <v>2</v>
      </c>
      <c r="AG50" s="97" t="s">
        <v>1351</v>
      </c>
      <c r="AH50" s="90" t="b">
        <v>0</v>
      </c>
      <c r="AI50" s="90" t="s">
        <v>1442</v>
      </c>
      <c r="AJ50" s="90"/>
      <c r="AK50" s="97" t="s">
        <v>1338</v>
      </c>
      <c r="AL50" s="90" t="b">
        <v>0</v>
      </c>
      <c r="AM50" s="90">
        <v>0</v>
      </c>
      <c r="AN50" s="97" t="s">
        <v>1338</v>
      </c>
      <c r="AO50" s="97" t="s">
        <v>1450</v>
      </c>
      <c r="AP50" s="90" t="b">
        <v>0</v>
      </c>
      <c r="AQ50" s="97" t="s">
        <v>995</v>
      </c>
      <c r="AR50" s="90" t="s">
        <v>187</v>
      </c>
      <c r="AS50" s="90">
        <v>0</v>
      </c>
      <c r="AT50" s="90">
        <v>0</v>
      </c>
      <c r="AU50" s="90"/>
      <c r="AV50" s="90"/>
      <c r="AW50" s="90"/>
      <c r="AX50" s="90"/>
      <c r="AY50" s="90"/>
      <c r="AZ50" s="90"/>
      <c r="BA50" s="90"/>
      <c r="BB50" s="90"/>
      <c r="BC50">
        <v>2</v>
      </c>
      <c r="BD50" s="89" t="str">
        <f>REPLACE(INDEX(GroupVertices[Group],MATCH(Edges[[#This Row],[Vertex 1]],GroupVertices[Vertex],0)),1,1,"")</f>
        <v>9</v>
      </c>
      <c r="BE50" s="89" t="str">
        <f>REPLACE(INDEX(GroupVertices[Group],MATCH(Edges[[#This Row],[Vertex 2]],GroupVertices[Vertex],0)),1,1,"")</f>
        <v>9</v>
      </c>
      <c r="BF50" s="49"/>
      <c r="BG50" s="50"/>
      <c r="BH50" s="49"/>
      <c r="BI50" s="50"/>
      <c r="BJ50" s="49"/>
      <c r="BK50" s="50"/>
      <c r="BL50" s="49"/>
      <c r="BM50" s="50"/>
      <c r="BN50" s="49"/>
    </row>
    <row r="51" spans="1:66" ht="15">
      <c r="A51" s="65" t="s">
        <v>249</v>
      </c>
      <c r="B51" s="65" t="s">
        <v>396</v>
      </c>
      <c r="C51" s="66" t="s">
        <v>5818</v>
      </c>
      <c r="D51" s="67">
        <v>1</v>
      </c>
      <c r="E51" s="68" t="s">
        <v>132</v>
      </c>
      <c r="F51" s="69">
        <v>32</v>
      </c>
      <c r="G51" s="66" t="s">
        <v>51</v>
      </c>
      <c r="H51" s="70"/>
      <c r="I51" s="71"/>
      <c r="J51" s="71"/>
      <c r="K51" s="35" t="s">
        <v>65</v>
      </c>
      <c r="L51" s="79">
        <v>51</v>
      </c>
      <c r="M51" s="79"/>
      <c r="N51" s="73"/>
      <c r="O51" s="90" t="s">
        <v>524</v>
      </c>
      <c r="P51" s="93">
        <v>44527.68021990741</v>
      </c>
      <c r="Q51" s="90" t="s">
        <v>547</v>
      </c>
      <c r="R51" s="90"/>
      <c r="S51" s="90"/>
      <c r="T51" s="90"/>
      <c r="U51" s="90"/>
      <c r="V51" s="96" t="str">
        <f>HYPERLINK("https://pbs.twimg.com/profile_images/1288214289489305601/8Hm-nkYT_normal.jpg")</f>
        <v>https://pbs.twimg.com/profile_images/1288214289489305601/8Hm-nkYT_normal.jpg</v>
      </c>
      <c r="W51" s="93">
        <v>44527.68021990741</v>
      </c>
      <c r="X51" s="100">
        <v>44527</v>
      </c>
      <c r="Y51" s="97" t="s">
        <v>746</v>
      </c>
      <c r="Z51" s="96" t="str">
        <f>HYPERLINK("https://twitter.com/rvalimaki/status/1464629974049120257")</f>
        <v>https://twitter.com/rvalimaki/status/1464629974049120257</v>
      </c>
      <c r="AA51" s="90"/>
      <c r="AB51" s="90"/>
      <c r="AC51" s="97" t="s">
        <v>998</v>
      </c>
      <c r="AD51" s="97" t="s">
        <v>1233</v>
      </c>
      <c r="AE51" s="90" t="b">
        <v>0</v>
      </c>
      <c r="AF51" s="90">
        <v>3</v>
      </c>
      <c r="AG51" s="97" t="s">
        <v>1352</v>
      </c>
      <c r="AH51" s="90" t="b">
        <v>0</v>
      </c>
      <c r="AI51" s="90" t="s">
        <v>1442</v>
      </c>
      <c r="AJ51" s="90"/>
      <c r="AK51" s="97" t="s">
        <v>1338</v>
      </c>
      <c r="AL51" s="90" t="b">
        <v>0</v>
      </c>
      <c r="AM51" s="90">
        <v>0</v>
      </c>
      <c r="AN51" s="97" t="s">
        <v>1338</v>
      </c>
      <c r="AO51" s="97" t="s">
        <v>1450</v>
      </c>
      <c r="AP51" s="90" t="b">
        <v>0</v>
      </c>
      <c r="AQ51" s="97" t="s">
        <v>1233</v>
      </c>
      <c r="AR51" s="90" t="s">
        <v>187</v>
      </c>
      <c r="AS51" s="90">
        <v>0</v>
      </c>
      <c r="AT51" s="90">
        <v>0</v>
      </c>
      <c r="AU51" s="90"/>
      <c r="AV51" s="90"/>
      <c r="AW51" s="90"/>
      <c r="AX51" s="90"/>
      <c r="AY51" s="90"/>
      <c r="AZ51" s="90"/>
      <c r="BA51" s="90"/>
      <c r="BB51" s="90"/>
      <c r="BC51">
        <v>2</v>
      </c>
      <c r="BD51" s="89" t="str">
        <f>REPLACE(INDEX(GroupVertices[Group],MATCH(Edges[[#This Row],[Vertex 1]],GroupVertices[Vertex],0)),1,1,"")</f>
        <v>9</v>
      </c>
      <c r="BE51" s="89" t="str">
        <f>REPLACE(INDEX(GroupVertices[Group],MATCH(Edges[[#This Row],[Vertex 2]],GroupVertices[Vertex],0)),1,1,"")</f>
        <v>9</v>
      </c>
      <c r="BF51" s="49"/>
      <c r="BG51" s="50"/>
      <c r="BH51" s="49"/>
      <c r="BI51" s="50"/>
      <c r="BJ51" s="49"/>
      <c r="BK51" s="50"/>
      <c r="BL51" s="49"/>
      <c r="BM51" s="50"/>
      <c r="BN51" s="49"/>
    </row>
    <row r="52" spans="1:66" ht="15">
      <c r="A52" s="65" t="s">
        <v>248</v>
      </c>
      <c r="B52" s="65" t="s">
        <v>271</v>
      </c>
      <c r="C52" s="66" t="s">
        <v>5818</v>
      </c>
      <c r="D52" s="67">
        <v>1</v>
      </c>
      <c r="E52" s="68" t="s">
        <v>132</v>
      </c>
      <c r="F52" s="69">
        <v>32</v>
      </c>
      <c r="G52" s="66" t="s">
        <v>51</v>
      </c>
      <c r="H52" s="70"/>
      <c r="I52" s="71"/>
      <c r="J52" s="71"/>
      <c r="K52" s="35" t="s">
        <v>65</v>
      </c>
      <c r="L52" s="79">
        <v>52</v>
      </c>
      <c r="M52" s="79"/>
      <c r="N52" s="73"/>
      <c r="O52" s="90" t="s">
        <v>524</v>
      </c>
      <c r="P52" s="93">
        <v>44527.48740740741</v>
      </c>
      <c r="Q52" s="90" t="s">
        <v>544</v>
      </c>
      <c r="R52" s="90"/>
      <c r="S52" s="90"/>
      <c r="T52" s="90"/>
      <c r="U52" s="90"/>
      <c r="V52" s="96" t="str">
        <f>HYPERLINK("https://pbs.twimg.com/profile_images/1439957986408030211/EQ9eR0rS_normal.jpg")</f>
        <v>https://pbs.twimg.com/profile_images/1439957986408030211/EQ9eR0rS_normal.jpg</v>
      </c>
      <c r="W52" s="93">
        <v>44527.48740740741</v>
      </c>
      <c r="X52" s="100">
        <v>44527</v>
      </c>
      <c r="Y52" s="97" t="s">
        <v>743</v>
      </c>
      <c r="Z52" s="96" t="str">
        <f>HYPERLINK("https://twitter.com/johnpulm/status/1464560099616296964")</f>
        <v>https://twitter.com/johnpulm/status/1464560099616296964</v>
      </c>
      <c r="AA52" s="90"/>
      <c r="AB52" s="90"/>
      <c r="AC52" s="97" t="s">
        <v>995</v>
      </c>
      <c r="AD52" s="97" t="s">
        <v>1232</v>
      </c>
      <c r="AE52" s="90" t="b">
        <v>0</v>
      </c>
      <c r="AF52" s="90">
        <v>1</v>
      </c>
      <c r="AG52" s="97" t="s">
        <v>1349</v>
      </c>
      <c r="AH52" s="90" t="b">
        <v>0</v>
      </c>
      <c r="AI52" s="90" t="s">
        <v>1442</v>
      </c>
      <c r="AJ52" s="90"/>
      <c r="AK52" s="97" t="s">
        <v>1338</v>
      </c>
      <c r="AL52" s="90" t="b">
        <v>0</v>
      </c>
      <c r="AM52" s="90">
        <v>0</v>
      </c>
      <c r="AN52" s="97" t="s">
        <v>1338</v>
      </c>
      <c r="AO52" s="97" t="s">
        <v>1450</v>
      </c>
      <c r="AP52" s="90" t="b">
        <v>0</v>
      </c>
      <c r="AQ52" s="97" t="s">
        <v>1232</v>
      </c>
      <c r="AR52" s="90" t="s">
        <v>187</v>
      </c>
      <c r="AS52" s="90">
        <v>0</v>
      </c>
      <c r="AT52" s="90">
        <v>0</v>
      </c>
      <c r="AU52" s="90"/>
      <c r="AV52" s="90"/>
      <c r="AW52" s="90"/>
      <c r="AX52" s="90"/>
      <c r="AY52" s="90"/>
      <c r="AZ52" s="90"/>
      <c r="BA52" s="90"/>
      <c r="BB52" s="90"/>
      <c r="BC52">
        <v>2</v>
      </c>
      <c r="BD52" s="89" t="str">
        <f>REPLACE(INDEX(GroupVertices[Group],MATCH(Edges[[#This Row],[Vertex 1]],GroupVertices[Vertex],0)),1,1,"")</f>
        <v>9</v>
      </c>
      <c r="BE52" s="89" t="str">
        <f>REPLACE(INDEX(GroupVertices[Group],MATCH(Edges[[#This Row],[Vertex 2]],GroupVertices[Vertex],0)),1,1,"")</f>
        <v>9</v>
      </c>
      <c r="BF52" s="49"/>
      <c r="BG52" s="50"/>
      <c r="BH52" s="49"/>
      <c r="BI52" s="50"/>
      <c r="BJ52" s="49"/>
      <c r="BK52" s="50"/>
      <c r="BL52" s="49"/>
      <c r="BM52" s="50"/>
      <c r="BN52" s="49"/>
    </row>
    <row r="53" spans="1:66" ht="15">
      <c r="A53" s="65" t="s">
        <v>248</v>
      </c>
      <c r="B53" s="65" t="s">
        <v>249</v>
      </c>
      <c r="C53" s="66" t="s">
        <v>5817</v>
      </c>
      <c r="D53" s="67">
        <v>1</v>
      </c>
      <c r="E53" s="68" t="s">
        <v>132</v>
      </c>
      <c r="F53" s="69">
        <v>32</v>
      </c>
      <c r="G53" s="66" t="s">
        <v>51</v>
      </c>
      <c r="H53" s="70"/>
      <c r="I53" s="71"/>
      <c r="J53" s="71"/>
      <c r="K53" s="35" t="s">
        <v>66</v>
      </c>
      <c r="L53" s="79">
        <v>53</v>
      </c>
      <c r="M53" s="79"/>
      <c r="N53" s="73"/>
      <c r="O53" s="90" t="s">
        <v>524</v>
      </c>
      <c r="P53" s="93">
        <v>44527.48740740741</v>
      </c>
      <c r="Q53" s="90" t="s">
        <v>544</v>
      </c>
      <c r="R53" s="90"/>
      <c r="S53" s="90"/>
      <c r="T53" s="90"/>
      <c r="U53" s="90"/>
      <c r="V53" s="96" t="str">
        <f>HYPERLINK("https://pbs.twimg.com/profile_images/1439957986408030211/EQ9eR0rS_normal.jpg")</f>
        <v>https://pbs.twimg.com/profile_images/1439957986408030211/EQ9eR0rS_normal.jpg</v>
      </c>
      <c r="W53" s="93">
        <v>44527.48740740741</v>
      </c>
      <c r="X53" s="100">
        <v>44527</v>
      </c>
      <c r="Y53" s="97" t="s">
        <v>743</v>
      </c>
      <c r="Z53" s="96" t="str">
        <f>HYPERLINK("https://twitter.com/johnpulm/status/1464560099616296964")</f>
        <v>https://twitter.com/johnpulm/status/1464560099616296964</v>
      </c>
      <c r="AA53" s="90"/>
      <c r="AB53" s="90"/>
      <c r="AC53" s="97" t="s">
        <v>995</v>
      </c>
      <c r="AD53" s="97" t="s">
        <v>1232</v>
      </c>
      <c r="AE53" s="90" t="b">
        <v>0</v>
      </c>
      <c r="AF53" s="90">
        <v>1</v>
      </c>
      <c r="AG53" s="97" t="s">
        <v>1349</v>
      </c>
      <c r="AH53" s="90" t="b">
        <v>0</v>
      </c>
      <c r="AI53" s="90" t="s">
        <v>1442</v>
      </c>
      <c r="AJ53" s="90"/>
      <c r="AK53" s="97" t="s">
        <v>1338</v>
      </c>
      <c r="AL53" s="90" t="b">
        <v>0</v>
      </c>
      <c r="AM53" s="90">
        <v>0</v>
      </c>
      <c r="AN53" s="97" t="s">
        <v>1338</v>
      </c>
      <c r="AO53" s="97" t="s">
        <v>1450</v>
      </c>
      <c r="AP53" s="90" t="b">
        <v>0</v>
      </c>
      <c r="AQ53" s="97" t="s">
        <v>1232</v>
      </c>
      <c r="AR53" s="90" t="s">
        <v>187</v>
      </c>
      <c r="AS53" s="90">
        <v>0</v>
      </c>
      <c r="AT53" s="90">
        <v>0</v>
      </c>
      <c r="AU53" s="90"/>
      <c r="AV53" s="90"/>
      <c r="AW53" s="90"/>
      <c r="AX53" s="90"/>
      <c r="AY53" s="90"/>
      <c r="AZ53" s="90"/>
      <c r="BA53" s="90"/>
      <c r="BB53" s="90"/>
      <c r="BC53">
        <v>1</v>
      </c>
      <c r="BD53" s="89" t="str">
        <f>REPLACE(INDEX(GroupVertices[Group],MATCH(Edges[[#This Row],[Vertex 1]],GroupVertices[Vertex],0)),1,1,"")</f>
        <v>9</v>
      </c>
      <c r="BE53" s="89" t="str">
        <f>REPLACE(INDEX(GroupVertices[Group],MATCH(Edges[[#This Row],[Vertex 2]],GroupVertices[Vertex],0)),1,1,"")</f>
        <v>9</v>
      </c>
      <c r="BF53" s="49"/>
      <c r="BG53" s="50"/>
      <c r="BH53" s="49"/>
      <c r="BI53" s="50"/>
      <c r="BJ53" s="49"/>
      <c r="BK53" s="50"/>
      <c r="BL53" s="49"/>
      <c r="BM53" s="50"/>
      <c r="BN53" s="49"/>
    </row>
    <row r="54" spans="1:66" ht="15">
      <c r="A54" s="65" t="s">
        <v>248</v>
      </c>
      <c r="B54" s="65" t="s">
        <v>397</v>
      </c>
      <c r="C54" s="66" t="s">
        <v>5818</v>
      </c>
      <c r="D54" s="67">
        <v>1</v>
      </c>
      <c r="E54" s="68" t="s">
        <v>132</v>
      </c>
      <c r="F54" s="69">
        <v>32</v>
      </c>
      <c r="G54" s="66" t="s">
        <v>51</v>
      </c>
      <c r="H54" s="70"/>
      <c r="I54" s="71"/>
      <c r="J54" s="71"/>
      <c r="K54" s="35" t="s">
        <v>65</v>
      </c>
      <c r="L54" s="79">
        <v>54</v>
      </c>
      <c r="M54" s="79"/>
      <c r="N54" s="73"/>
      <c r="O54" s="90" t="s">
        <v>524</v>
      </c>
      <c r="P54" s="93">
        <v>44527.48740740741</v>
      </c>
      <c r="Q54" s="90" t="s">
        <v>544</v>
      </c>
      <c r="R54" s="90"/>
      <c r="S54" s="90"/>
      <c r="T54" s="90"/>
      <c r="U54" s="90"/>
      <c r="V54" s="96" t="str">
        <f>HYPERLINK("https://pbs.twimg.com/profile_images/1439957986408030211/EQ9eR0rS_normal.jpg")</f>
        <v>https://pbs.twimg.com/profile_images/1439957986408030211/EQ9eR0rS_normal.jpg</v>
      </c>
      <c r="W54" s="93">
        <v>44527.48740740741</v>
      </c>
      <c r="X54" s="100">
        <v>44527</v>
      </c>
      <c r="Y54" s="97" t="s">
        <v>743</v>
      </c>
      <c r="Z54" s="96" t="str">
        <f>HYPERLINK("https://twitter.com/johnpulm/status/1464560099616296964")</f>
        <v>https://twitter.com/johnpulm/status/1464560099616296964</v>
      </c>
      <c r="AA54" s="90"/>
      <c r="AB54" s="90"/>
      <c r="AC54" s="97" t="s">
        <v>995</v>
      </c>
      <c r="AD54" s="97" t="s">
        <v>1232</v>
      </c>
      <c r="AE54" s="90" t="b">
        <v>0</v>
      </c>
      <c r="AF54" s="90">
        <v>1</v>
      </c>
      <c r="AG54" s="97" t="s">
        <v>1349</v>
      </c>
      <c r="AH54" s="90" t="b">
        <v>0</v>
      </c>
      <c r="AI54" s="90" t="s">
        <v>1442</v>
      </c>
      <c r="AJ54" s="90"/>
      <c r="AK54" s="97" t="s">
        <v>1338</v>
      </c>
      <c r="AL54" s="90" t="b">
        <v>0</v>
      </c>
      <c r="AM54" s="90">
        <v>0</v>
      </c>
      <c r="AN54" s="97" t="s">
        <v>1338</v>
      </c>
      <c r="AO54" s="97" t="s">
        <v>1450</v>
      </c>
      <c r="AP54" s="90" t="b">
        <v>0</v>
      </c>
      <c r="AQ54" s="97" t="s">
        <v>1232</v>
      </c>
      <c r="AR54" s="90" t="s">
        <v>187</v>
      </c>
      <c r="AS54" s="90">
        <v>0</v>
      </c>
      <c r="AT54" s="90">
        <v>0</v>
      </c>
      <c r="AU54" s="90"/>
      <c r="AV54" s="90"/>
      <c r="AW54" s="90"/>
      <c r="AX54" s="90"/>
      <c r="AY54" s="90"/>
      <c r="AZ54" s="90"/>
      <c r="BA54" s="90"/>
      <c r="BB54" s="90"/>
      <c r="BC54">
        <v>2</v>
      </c>
      <c r="BD54" s="89" t="str">
        <f>REPLACE(INDEX(GroupVertices[Group],MATCH(Edges[[#This Row],[Vertex 1]],GroupVertices[Vertex],0)),1,1,"")</f>
        <v>9</v>
      </c>
      <c r="BE54" s="89" t="str">
        <f>REPLACE(INDEX(GroupVertices[Group],MATCH(Edges[[#This Row],[Vertex 2]],GroupVertices[Vertex],0)),1,1,"")</f>
        <v>9</v>
      </c>
      <c r="BF54" s="49"/>
      <c r="BG54" s="50"/>
      <c r="BH54" s="49"/>
      <c r="BI54" s="50"/>
      <c r="BJ54" s="49"/>
      <c r="BK54" s="50"/>
      <c r="BL54" s="49"/>
      <c r="BM54" s="50"/>
      <c r="BN54" s="49"/>
    </row>
    <row r="55" spans="1:66" ht="15">
      <c r="A55" s="65" t="s">
        <v>248</v>
      </c>
      <c r="B55" s="65" t="s">
        <v>398</v>
      </c>
      <c r="C55" s="66" t="s">
        <v>5818</v>
      </c>
      <c r="D55" s="67">
        <v>1</v>
      </c>
      <c r="E55" s="68" t="s">
        <v>132</v>
      </c>
      <c r="F55" s="69">
        <v>32</v>
      </c>
      <c r="G55" s="66" t="s">
        <v>51</v>
      </c>
      <c r="H55" s="70"/>
      <c r="I55" s="71"/>
      <c r="J55" s="71"/>
      <c r="K55" s="35" t="s">
        <v>65</v>
      </c>
      <c r="L55" s="79">
        <v>55</v>
      </c>
      <c r="M55" s="79"/>
      <c r="N55" s="73"/>
      <c r="O55" s="90" t="s">
        <v>524</v>
      </c>
      <c r="P55" s="93">
        <v>44527.48740740741</v>
      </c>
      <c r="Q55" s="90" t="s">
        <v>544</v>
      </c>
      <c r="R55" s="90"/>
      <c r="S55" s="90"/>
      <c r="T55" s="90"/>
      <c r="U55" s="90"/>
      <c r="V55" s="96" t="str">
        <f>HYPERLINK("https://pbs.twimg.com/profile_images/1439957986408030211/EQ9eR0rS_normal.jpg")</f>
        <v>https://pbs.twimg.com/profile_images/1439957986408030211/EQ9eR0rS_normal.jpg</v>
      </c>
      <c r="W55" s="93">
        <v>44527.48740740741</v>
      </c>
      <c r="X55" s="100">
        <v>44527</v>
      </c>
      <c r="Y55" s="97" t="s">
        <v>743</v>
      </c>
      <c r="Z55" s="96" t="str">
        <f>HYPERLINK("https://twitter.com/johnpulm/status/1464560099616296964")</f>
        <v>https://twitter.com/johnpulm/status/1464560099616296964</v>
      </c>
      <c r="AA55" s="90"/>
      <c r="AB55" s="90"/>
      <c r="AC55" s="97" t="s">
        <v>995</v>
      </c>
      <c r="AD55" s="97" t="s">
        <v>1232</v>
      </c>
      <c r="AE55" s="90" t="b">
        <v>0</v>
      </c>
      <c r="AF55" s="90">
        <v>1</v>
      </c>
      <c r="AG55" s="97" t="s">
        <v>1349</v>
      </c>
      <c r="AH55" s="90" t="b">
        <v>0</v>
      </c>
      <c r="AI55" s="90" t="s">
        <v>1442</v>
      </c>
      <c r="AJ55" s="90"/>
      <c r="AK55" s="97" t="s">
        <v>1338</v>
      </c>
      <c r="AL55" s="90" t="b">
        <v>0</v>
      </c>
      <c r="AM55" s="90">
        <v>0</v>
      </c>
      <c r="AN55" s="97" t="s">
        <v>1338</v>
      </c>
      <c r="AO55" s="97" t="s">
        <v>1450</v>
      </c>
      <c r="AP55" s="90" t="b">
        <v>0</v>
      </c>
      <c r="AQ55" s="97" t="s">
        <v>1232</v>
      </c>
      <c r="AR55" s="90" t="s">
        <v>187</v>
      </c>
      <c r="AS55" s="90">
        <v>0</v>
      </c>
      <c r="AT55" s="90">
        <v>0</v>
      </c>
      <c r="AU55" s="90"/>
      <c r="AV55" s="90"/>
      <c r="AW55" s="90"/>
      <c r="AX55" s="90"/>
      <c r="AY55" s="90"/>
      <c r="AZ55" s="90"/>
      <c r="BA55" s="90"/>
      <c r="BB55" s="90"/>
      <c r="BC55">
        <v>2</v>
      </c>
      <c r="BD55" s="89" t="str">
        <f>REPLACE(INDEX(GroupVertices[Group],MATCH(Edges[[#This Row],[Vertex 1]],GroupVertices[Vertex],0)),1,1,"")</f>
        <v>9</v>
      </c>
      <c r="BE55" s="89" t="str">
        <f>REPLACE(INDEX(GroupVertices[Group],MATCH(Edges[[#This Row],[Vertex 2]],GroupVertices[Vertex],0)),1,1,"")</f>
        <v>9</v>
      </c>
      <c r="BF55" s="49"/>
      <c r="BG55" s="50"/>
      <c r="BH55" s="49"/>
      <c r="BI55" s="50"/>
      <c r="BJ55" s="49"/>
      <c r="BK55" s="50"/>
      <c r="BL55" s="49"/>
      <c r="BM55" s="50"/>
      <c r="BN55" s="49"/>
    </row>
    <row r="56" spans="1:66" ht="15">
      <c r="A56" s="65" t="s">
        <v>248</v>
      </c>
      <c r="B56" s="65" t="s">
        <v>399</v>
      </c>
      <c r="C56" s="66" t="s">
        <v>5817</v>
      </c>
      <c r="D56" s="67">
        <v>1</v>
      </c>
      <c r="E56" s="68" t="s">
        <v>132</v>
      </c>
      <c r="F56" s="69">
        <v>32</v>
      </c>
      <c r="G56" s="66" t="s">
        <v>51</v>
      </c>
      <c r="H56" s="70"/>
      <c r="I56" s="71"/>
      <c r="J56" s="71"/>
      <c r="K56" s="35" t="s">
        <v>65</v>
      </c>
      <c r="L56" s="79">
        <v>56</v>
      </c>
      <c r="M56" s="79"/>
      <c r="N56" s="73"/>
      <c r="O56" s="90" t="s">
        <v>523</v>
      </c>
      <c r="P56" s="93">
        <v>44527.48740740741</v>
      </c>
      <c r="Q56" s="90" t="s">
        <v>544</v>
      </c>
      <c r="R56" s="90"/>
      <c r="S56" s="90"/>
      <c r="T56" s="90"/>
      <c r="U56" s="90"/>
      <c r="V56" s="96" t="str">
        <f>HYPERLINK("https://pbs.twimg.com/profile_images/1439957986408030211/EQ9eR0rS_normal.jpg")</f>
        <v>https://pbs.twimg.com/profile_images/1439957986408030211/EQ9eR0rS_normal.jpg</v>
      </c>
      <c r="W56" s="93">
        <v>44527.48740740741</v>
      </c>
      <c r="X56" s="100">
        <v>44527</v>
      </c>
      <c r="Y56" s="97" t="s">
        <v>743</v>
      </c>
      <c r="Z56" s="96" t="str">
        <f>HYPERLINK("https://twitter.com/johnpulm/status/1464560099616296964")</f>
        <v>https://twitter.com/johnpulm/status/1464560099616296964</v>
      </c>
      <c r="AA56" s="90"/>
      <c r="AB56" s="90"/>
      <c r="AC56" s="97" t="s">
        <v>995</v>
      </c>
      <c r="AD56" s="97" t="s">
        <v>1232</v>
      </c>
      <c r="AE56" s="90" t="b">
        <v>0</v>
      </c>
      <c r="AF56" s="90">
        <v>1</v>
      </c>
      <c r="AG56" s="97" t="s">
        <v>1349</v>
      </c>
      <c r="AH56" s="90" t="b">
        <v>0</v>
      </c>
      <c r="AI56" s="90" t="s">
        <v>1442</v>
      </c>
      <c r="AJ56" s="90"/>
      <c r="AK56" s="97" t="s">
        <v>1338</v>
      </c>
      <c r="AL56" s="90" t="b">
        <v>0</v>
      </c>
      <c r="AM56" s="90">
        <v>0</v>
      </c>
      <c r="AN56" s="97" t="s">
        <v>1338</v>
      </c>
      <c r="AO56" s="97" t="s">
        <v>1450</v>
      </c>
      <c r="AP56" s="90" t="b">
        <v>0</v>
      </c>
      <c r="AQ56" s="97" t="s">
        <v>1232</v>
      </c>
      <c r="AR56" s="90" t="s">
        <v>187</v>
      </c>
      <c r="AS56" s="90">
        <v>0</v>
      </c>
      <c r="AT56" s="90">
        <v>0</v>
      </c>
      <c r="AU56" s="90"/>
      <c r="AV56" s="90"/>
      <c r="AW56" s="90"/>
      <c r="AX56" s="90"/>
      <c r="AY56" s="90"/>
      <c r="AZ56" s="90"/>
      <c r="BA56" s="90"/>
      <c r="BB56" s="90"/>
      <c r="BC56">
        <v>1</v>
      </c>
      <c r="BD56" s="89" t="str">
        <f>REPLACE(INDEX(GroupVertices[Group],MATCH(Edges[[#This Row],[Vertex 1]],GroupVertices[Vertex],0)),1,1,"")</f>
        <v>9</v>
      </c>
      <c r="BE56" s="89" t="str">
        <f>REPLACE(INDEX(GroupVertices[Group],MATCH(Edges[[#This Row],[Vertex 2]],GroupVertices[Vertex],0)),1,1,"")</f>
        <v>9</v>
      </c>
      <c r="BF56" s="49">
        <v>0</v>
      </c>
      <c r="BG56" s="50">
        <v>0</v>
      </c>
      <c r="BH56" s="49">
        <v>0</v>
      </c>
      <c r="BI56" s="50">
        <v>0</v>
      </c>
      <c r="BJ56" s="49">
        <v>0</v>
      </c>
      <c r="BK56" s="50">
        <v>0</v>
      </c>
      <c r="BL56" s="49">
        <v>24</v>
      </c>
      <c r="BM56" s="50">
        <v>100</v>
      </c>
      <c r="BN56" s="49">
        <v>24</v>
      </c>
    </row>
    <row r="57" spans="1:66" ht="15">
      <c r="A57" s="65" t="s">
        <v>248</v>
      </c>
      <c r="B57" s="65" t="s">
        <v>271</v>
      </c>
      <c r="C57" s="66" t="s">
        <v>5818</v>
      </c>
      <c r="D57" s="67">
        <v>1</v>
      </c>
      <c r="E57" s="68" t="s">
        <v>132</v>
      </c>
      <c r="F57" s="69">
        <v>32</v>
      </c>
      <c r="G57" s="66" t="s">
        <v>51</v>
      </c>
      <c r="H57" s="70"/>
      <c r="I57" s="71"/>
      <c r="J57" s="71"/>
      <c r="K57" s="35" t="s">
        <v>65</v>
      </c>
      <c r="L57" s="79">
        <v>57</v>
      </c>
      <c r="M57" s="79"/>
      <c r="N57" s="73"/>
      <c r="O57" s="90" t="s">
        <v>524</v>
      </c>
      <c r="P57" s="93">
        <v>44527.57493055556</v>
      </c>
      <c r="Q57" s="90" t="s">
        <v>545</v>
      </c>
      <c r="R57" s="90"/>
      <c r="S57" s="90"/>
      <c r="T57" s="90"/>
      <c r="U57" s="90"/>
      <c r="V57" s="96" t="str">
        <f>HYPERLINK("https://pbs.twimg.com/profile_images/1439957986408030211/EQ9eR0rS_normal.jpg")</f>
        <v>https://pbs.twimg.com/profile_images/1439957986408030211/EQ9eR0rS_normal.jpg</v>
      </c>
      <c r="W57" s="93">
        <v>44527.57493055556</v>
      </c>
      <c r="X57" s="100">
        <v>44527</v>
      </c>
      <c r="Y57" s="97" t="s">
        <v>744</v>
      </c>
      <c r="Z57" s="96" t="str">
        <f>HYPERLINK("https://twitter.com/johnpulm/status/1464591817224118273")</f>
        <v>https://twitter.com/johnpulm/status/1464591817224118273</v>
      </c>
      <c r="AA57" s="90"/>
      <c r="AB57" s="90"/>
      <c r="AC57" s="97" t="s">
        <v>996</v>
      </c>
      <c r="AD57" s="97" t="s">
        <v>997</v>
      </c>
      <c r="AE57" s="90" t="b">
        <v>0</v>
      </c>
      <c r="AF57" s="90">
        <v>1</v>
      </c>
      <c r="AG57" s="97" t="s">
        <v>1350</v>
      </c>
      <c r="AH57" s="90" t="b">
        <v>0</v>
      </c>
      <c r="AI57" s="90" t="s">
        <v>1442</v>
      </c>
      <c r="AJ57" s="90"/>
      <c r="AK57" s="97" t="s">
        <v>1338</v>
      </c>
      <c r="AL57" s="90" t="b">
        <v>0</v>
      </c>
      <c r="AM57" s="90">
        <v>0</v>
      </c>
      <c r="AN57" s="97" t="s">
        <v>1338</v>
      </c>
      <c r="AO57" s="97" t="s">
        <v>1450</v>
      </c>
      <c r="AP57" s="90" t="b">
        <v>0</v>
      </c>
      <c r="AQ57" s="97" t="s">
        <v>997</v>
      </c>
      <c r="AR57" s="90" t="s">
        <v>187</v>
      </c>
      <c r="AS57" s="90">
        <v>0</v>
      </c>
      <c r="AT57" s="90">
        <v>0</v>
      </c>
      <c r="AU57" s="90"/>
      <c r="AV57" s="90"/>
      <c r="AW57" s="90"/>
      <c r="AX57" s="90"/>
      <c r="AY57" s="90"/>
      <c r="AZ57" s="90"/>
      <c r="BA57" s="90"/>
      <c r="BB57" s="90"/>
      <c r="BC57">
        <v>2</v>
      </c>
      <c r="BD57" s="89" t="str">
        <f>REPLACE(INDEX(GroupVertices[Group],MATCH(Edges[[#This Row],[Vertex 1]],GroupVertices[Vertex],0)),1,1,"")</f>
        <v>9</v>
      </c>
      <c r="BE57" s="89" t="str">
        <f>REPLACE(INDEX(GroupVertices[Group],MATCH(Edges[[#This Row],[Vertex 2]],GroupVertices[Vertex],0)),1,1,"")</f>
        <v>9</v>
      </c>
      <c r="BF57" s="49"/>
      <c r="BG57" s="50"/>
      <c r="BH57" s="49"/>
      <c r="BI57" s="50"/>
      <c r="BJ57" s="49"/>
      <c r="BK57" s="50"/>
      <c r="BL57" s="49"/>
      <c r="BM57" s="50"/>
      <c r="BN57" s="49"/>
    </row>
    <row r="58" spans="1:66" ht="15">
      <c r="A58" s="65" t="s">
        <v>248</v>
      </c>
      <c r="B58" s="65" t="s">
        <v>397</v>
      </c>
      <c r="C58" s="66" t="s">
        <v>5818</v>
      </c>
      <c r="D58" s="67">
        <v>1</v>
      </c>
      <c r="E58" s="68" t="s">
        <v>132</v>
      </c>
      <c r="F58" s="69">
        <v>32</v>
      </c>
      <c r="G58" s="66" t="s">
        <v>51</v>
      </c>
      <c r="H58" s="70"/>
      <c r="I58" s="71"/>
      <c r="J58" s="71"/>
      <c r="K58" s="35" t="s">
        <v>65</v>
      </c>
      <c r="L58" s="79">
        <v>58</v>
      </c>
      <c r="M58" s="79"/>
      <c r="N58" s="73"/>
      <c r="O58" s="90" t="s">
        <v>524</v>
      </c>
      <c r="P58" s="93">
        <v>44527.57493055556</v>
      </c>
      <c r="Q58" s="90" t="s">
        <v>545</v>
      </c>
      <c r="R58" s="90"/>
      <c r="S58" s="90"/>
      <c r="T58" s="90"/>
      <c r="U58" s="90"/>
      <c r="V58" s="96" t="str">
        <f>HYPERLINK("https://pbs.twimg.com/profile_images/1439957986408030211/EQ9eR0rS_normal.jpg")</f>
        <v>https://pbs.twimg.com/profile_images/1439957986408030211/EQ9eR0rS_normal.jpg</v>
      </c>
      <c r="W58" s="93">
        <v>44527.57493055556</v>
      </c>
      <c r="X58" s="100">
        <v>44527</v>
      </c>
      <c r="Y58" s="97" t="s">
        <v>744</v>
      </c>
      <c r="Z58" s="96" t="str">
        <f>HYPERLINK("https://twitter.com/johnpulm/status/1464591817224118273")</f>
        <v>https://twitter.com/johnpulm/status/1464591817224118273</v>
      </c>
      <c r="AA58" s="90"/>
      <c r="AB58" s="90"/>
      <c r="AC58" s="97" t="s">
        <v>996</v>
      </c>
      <c r="AD58" s="97" t="s">
        <v>997</v>
      </c>
      <c r="AE58" s="90" t="b">
        <v>0</v>
      </c>
      <c r="AF58" s="90">
        <v>1</v>
      </c>
      <c r="AG58" s="97" t="s">
        <v>1350</v>
      </c>
      <c r="AH58" s="90" t="b">
        <v>0</v>
      </c>
      <c r="AI58" s="90" t="s">
        <v>1442</v>
      </c>
      <c r="AJ58" s="90"/>
      <c r="AK58" s="97" t="s">
        <v>1338</v>
      </c>
      <c r="AL58" s="90" t="b">
        <v>0</v>
      </c>
      <c r="AM58" s="90">
        <v>0</v>
      </c>
      <c r="AN58" s="97" t="s">
        <v>1338</v>
      </c>
      <c r="AO58" s="97" t="s">
        <v>1450</v>
      </c>
      <c r="AP58" s="90" t="b">
        <v>0</v>
      </c>
      <c r="AQ58" s="97" t="s">
        <v>997</v>
      </c>
      <c r="AR58" s="90" t="s">
        <v>187</v>
      </c>
      <c r="AS58" s="90">
        <v>0</v>
      </c>
      <c r="AT58" s="90">
        <v>0</v>
      </c>
      <c r="AU58" s="90"/>
      <c r="AV58" s="90"/>
      <c r="AW58" s="90"/>
      <c r="AX58" s="90"/>
      <c r="AY58" s="90"/>
      <c r="AZ58" s="90"/>
      <c r="BA58" s="90"/>
      <c r="BB58" s="90"/>
      <c r="BC58">
        <v>2</v>
      </c>
      <c r="BD58" s="89" t="str">
        <f>REPLACE(INDEX(GroupVertices[Group],MATCH(Edges[[#This Row],[Vertex 1]],GroupVertices[Vertex],0)),1,1,"")</f>
        <v>9</v>
      </c>
      <c r="BE58" s="89" t="str">
        <f>REPLACE(INDEX(GroupVertices[Group],MATCH(Edges[[#This Row],[Vertex 2]],GroupVertices[Vertex],0)),1,1,"")</f>
        <v>9</v>
      </c>
      <c r="BF58" s="49"/>
      <c r="BG58" s="50"/>
      <c r="BH58" s="49"/>
      <c r="BI58" s="50"/>
      <c r="BJ58" s="49"/>
      <c r="BK58" s="50"/>
      <c r="BL58" s="49"/>
      <c r="BM58" s="50"/>
      <c r="BN58" s="49"/>
    </row>
    <row r="59" spans="1:66" ht="15">
      <c r="A59" s="65" t="s">
        <v>248</v>
      </c>
      <c r="B59" s="65" t="s">
        <v>398</v>
      </c>
      <c r="C59" s="66" t="s">
        <v>5818</v>
      </c>
      <c r="D59" s="67">
        <v>1</v>
      </c>
      <c r="E59" s="68" t="s">
        <v>132</v>
      </c>
      <c r="F59" s="69">
        <v>32</v>
      </c>
      <c r="G59" s="66" t="s">
        <v>51</v>
      </c>
      <c r="H59" s="70"/>
      <c r="I59" s="71"/>
      <c r="J59" s="71"/>
      <c r="K59" s="35" t="s">
        <v>65</v>
      </c>
      <c r="L59" s="79">
        <v>59</v>
      </c>
      <c r="M59" s="79"/>
      <c r="N59" s="73"/>
      <c r="O59" s="90" t="s">
        <v>524</v>
      </c>
      <c r="P59" s="93">
        <v>44527.57493055556</v>
      </c>
      <c r="Q59" s="90" t="s">
        <v>545</v>
      </c>
      <c r="R59" s="90"/>
      <c r="S59" s="90"/>
      <c r="T59" s="90"/>
      <c r="U59" s="90"/>
      <c r="V59" s="96" t="str">
        <f>HYPERLINK("https://pbs.twimg.com/profile_images/1439957986408030211/EQ9eR0rS_normal.jpg")</f>
        <v>https://pbs.twimg.com/profile_images/1439957986408030211/EQ9eR0rS_normal.jpg</v>
      </c>
      <c r="W59" s="93">
        <v>44527.57493055556</v>
      </c>
      <c r="X59" s="100">
        <v>44527</v>
      </c>
      <c r="Y59" s="97" t="s">
        <v>744</v>
      </c>
      <c r="Z59" s="96" t="str">
        <f>HYPERLINK("https://twitter.com/johnpulm/status/1464591817224118273")</f>
        <v>https://twitter.com/johnpulm/status/1464591817224118273</v>
      </c>
      <c r="AA59" s="90"/>
      <c r="AB59" s="90"/>
      <c r="AC59" s="97" t="s">
        <v>996</v>
      </c>
      <c r="AD59" s="97" t="s">
        <v>997</v>
      </c>
      <c r="AE59" s="90" t="b">
        <v>0</v>
      </c>
      <c r="AF59" s="90">
        <v>1</v>
      </c>
      <c r="AG59" s="97" t="s">
        <v>1350</v>
      </c>
      <c r="AH59" s="90" t="b">
        <v>0</v>
      </c>
      <c r="AI59" s="90" t="s">
        <v>1442</v>
      </c>
      <c r="AJ59" s="90"/>
      <c r="AK59" s="97" t="s">
        <v>1338</v>
      </c>
      <c r="AL59" s="90" t="b">
        <v>0</v>
      </c>
      <c r="AM59" s="90">
        <v>0</v>
      </c>
      <c r="AN59" s="97" t="s">
        <v>1338</v>
      </c>
      <c r="AO59" s="97" t="s">
        <v>1450</v>
      </c>
      <c r="AP59" s="90" t="b">
        <v>0</v>
      </c>
      <c r="AQ59" s="97" t="s">
        <v>997</v>
      </c>
      <c r="AR59" s="90" t="s">
        <v>187</v>
      </c>
      <c r="AS59" s="90">
        <v>0</v>
      </c>
      <c r="AT59" s="90">
        <v>0</v>
      </c>
      <c r="AU59" s="90"/>
      <c r="AV59" s="90"/>
      <c r="AW59" s="90"/>
      <c r="AX59" s="90"/>
      <c r="AY59" s="90"/>
      <c r="AZ59" s="90"/>
      <c r="BA59" s="90"/>
      <c r="BB59" s="90"/>
      <c r="BC59">
        <v>2</v>
      </c>
      <c r="BD59" s="89" t="str">
        <f>REPLACE(INDEX(GroupVertices[Group],MATCH(Edges[[#This Row],[Vertex 1]],GroupVertices[Vertex],0)),1,1,"")</f>
        <v>9</v>
      </c>
      <c r="BE59" s="89" t="str">
        <f>REPLACE(INDEX(GroupVertices[Group],MATCH(Edges[[#This Row],[Vertex 2]],GroupVertices[Vertex],0)),1,1,"")</f>
        <v>9</v>
      </c>
      <c r="BF59" s="49"/>
      <c r="BG59" s="50"/>
      <c r="BH59" s="49"/>
      <c r="BI59" s="50"/>
      <c r="BJ59" s="49"/>
      <c r="BK59" s="50"/>
      <c r="BL59" s="49"/>
      <c r="BM59" s="50"/>
      <c r="BN59" s="49"/>
    </row>
    <row r="60" spans="1:66" ht="15">
      <c r="A60" s="65" t="s">
        <v>248</v>
      </c>
      <c r="B60" s="65" t="s">
        <v>399</v>
      </c>
      <c r="C60" s="66" t="s">
        <v>5817</v>
      </c>
      <c r="D60" s="67">
        <v>1</v>
      </c>
      <c r="E60" s="68" t="s">
        <v>132</v>
      </c>
      <c r="F60" s="69">
        <v>32</v>
      </c>
      <c r="G60" s="66" t="s">
        <v>51</v>
      </c>
      <c r="H60" s="70"/>
      <c r="I60" s="71"/>
      <c r="J60" s="71"/>
      <c r="K60" s="35" t="s">
        <v>65</v>
      </c>
      <c r="L60" s="79">
        <v>60</v>
      </c>
      <c r="M60" s="79"/>
      <c r="N60" s="73"/>
      <c r="O60" s="90" t="s">
        <v>524</v>
      </c>
      <c r="P60" s="93">
        <v>44527.57493055556</v>
      </c>
      <c r="Q60" s="90" t="s">
        <v>545</v>
      </c>
      <c r="R60" s="90"/>
      <c r="S60" s="90"/>
      <c r="T60" s="90"/>
      <c r="U60" s="90"/>
      <c r="V60" s="96" t="str">
        <f>HYPERLINK("https://pbs.twimg.com/profile_images/1439957986408030211/EQ9eR0rS_normal.jpg")</f>
        <v>https://pbs.twimg.com/profile_images/1439957986408030211/EQ9eR0rS_normal.jpg</v>
      </c>
      <c r="W60" s="93">
        <v>44527.57493055556</v>
      </c>
      <c r="X60" s="100">
        <v>44527</v>
      </c>
      <c r="Y60" s="97" t="s">
        <v>744</v>
      </c>
      <c r="Z60" s="96" t="str">
        <f>HYPERLINK("https://twitter.com/johnpulm/status/1464591817224118273")</f>
        <v>https://twitter.com/johnpulm/status/1464591817224118273</v>
      </c>
      <c r="AA60" s="90"/>
      <c r="AB60" s="90"/>
      <c r="AC60" s="97" t="s">
        <v>996</v>
      </c>
      <c r="AD60" s="97" t="s">
        <v>997</v>
      </c>
      <c r="AE60" s="90" t="b">
        <v>0</v>
      </c>
      <c r="AF60" s="90">
        <v>1</v>
      </c>
      <c r="AG60" s="97" t="s">
        <v>1350</v>
      </c>
      <c r="AH60" s="90" t="b">
        <v>0</v>
      </c>
      <c r="AI60" s="90" t="s">
        <v>1442</v>
      </c>
      <c r="AJ60" s="90"/>
      <c r="AK60" s="97" t="s">
        <v>1338</v>
      </c>
      <c r="AL60" s="90" t="b">
        <v>0</v>
      </c>
      <c r="AM60" s="90">
        <v>0</v>
      </c>
      <c r="AN60" s="97" t="s">
        <v>1338</v>
      </c>
      <c r="AO60" s="97" t="s">
        <v>1450</v>
      </c>
      <c r="AP60" s="90" t="b">
        <v>0</v>
      </c>
      <c r="AQ60" s="97" t="s">
        <v>997</v>
      </c>
      <c r="AR60" s="90" t="s">
        <v>187</v>
      </c>
      <c r="AS60" s="90">
        <v>0</v>
      </c>
      <c r="AT60" s="90">
        <v>0</v>
      </c>
      <c r="AU60" s="90"/>
      <c r="AV60" s="90"/>
      <c r="AW60" s="90"/>
      <c r="AX60" s="90"/>
      <c r="AY60" s="90"/>
      <c r="AZ60" s="90"/>
      <c r="BA60" s="90"/>
      <c r="BB60" s="90"/>
      <c r="BC60">
        <v>1</v>
      </c>
      <c r="BD60" s="89" t="str">
        <f>REPLACE(INDEX(GroupVertices[Group],MATCH(Edges[[#This Row],[Vertex 1]],GroupVertices[Vertex],0)),1,1,"")</f>
        <v>9</v>
      </c>
      <c r="BE60" s="89" t="str">
        <f>REPLACE(INDEX(GroupVertices[Group],MATCH(Edges[[#This Row],[Vertex 2]],GroupVertices[Vertex],0)),1,1,"")</f>
        <v>9</v>
      </c>
      <c r="BF60" s="49">
        <v>0</v>
      </c>
      <c r="BG60" s="50">
        <v>0</v>
      </c>
      <c r="BH60" s="49">
        <v>0</v>
      </c>
      <c r="BI60" s="50">
        <v>0</v>
      </c>
      <c r="BJ60" s="49">
        <v>0</v>
      </c>
      <c r="BK60" s="50">
        <v>0</v>
      </c>
      <c r="BL60" s="49">
        <v>30</v>
      </c>
      <c r="BM60" s="50">
        <v>100</v>
      </c>
      <c r="BN60" s="49">
        <v>30</v>
      </c>
    </row>
    <row r="61" spans="1:66" ht="15">
      <c r="A61" s="65" t="s">
        <v>248</v>
      </c>
      <c r="B61" s="65" t="s">
        <v>249</v>
      </c>
      <c r="C61" s="66" t="s">
        <v>5817</v>
      </c>
      <c r="D61" s="67">
        <v>1</v>
      </c>
      <c r="E61" s="68" t="s">
        <v>132</v>
      </c>
      <c r="F61" s="69">
        <v>32</v>
      </c>
      <c r="G61" s="66" t="s">
        <v>51</v>
      </c>
      <c r="H61" s="70"/>
      <c r="I61" s="71"/>
      <c r="J61" s="71"/>
      <c r="K61" s="35" t="s">
        <v>66</v>
      </c>
      <c r="L61" s="79">
        <v>61</v>
      </c>
      <c r="M61" s="79"/>
      <c r="N61" s="73"/>
      <c r="O61" s="90" t="s">
        <v>523</v>
      </c>
      <c r="P61" s="93">
        <v>44527.57493055556</v>
      </c>
      <c r="Q61" s="90" t="s">
        <v>545</v>
      </c>
      <c r="R61" s="90"/>
      <c r="S61" s="90"/>
      <c r="T61" s="90"/>
      <c r="U61" s="90"/>
      <c r="V61" s="96" t="str">
        <f>HYPERLINK("https://pbs.twimg.com/profile_images/1439957986408030211/EQ9eR0rS_normal.jpg")</f>
        <v>https://pbs.twimg.com/profile_images/1439957986408030211/EQ9eR0rS_normal.jpg</v>
      </c>
      <c r="W61" s="93">
        <v>44527.57493055556</v>
      </c>
      <c r="X61" s="100">
        <v>44527</v>
      </c>
      <c r="Y61" s="97" t="s">
        <v>744</v>
      </c>
      <c r="Z61" s="96" t="str">
        <f>HYPERLINK("https://twitter.com/johnpulm/status/1464591817224118273")</f>
        <v>https://twitter.com/johnpulm/status/1464591817224118273</v>
      </c>
      <c r="AA61" s="90"/>
      <c r="AB61" s="90"/>
      <c r="AC61" s="97" t="s">
        <v>996</v>
      </c>
      <c r="AD61" s="97" t="s">
        <v>997</v>
      </c>
      <c r="AE61" s="90" t="b">
        <v>0</v>
      </c>
      <c r="AF61" s="90">
        <v>1</v>
      </c>
      <c r="AG61" s="97" t="s">
        <v>1350</v>
      </c>
      <c r="AH61" s="90" t="b">
        <v>0</v>
      </c>
      <c r="AI61" s="90" t="s">
        <v>1442</v>
      </c>
      <c r="AJ61" s="90"/>
      <c r="AK61" s="97" t="s">
        <v>1338</v>
      </c>
      <c r="AL61" s="90" t="b">
        <v>0</v>
      </c>
      <c r="AM61" s="90">
        <v>0</v>
      </c>
      <c r="AN61" s="97" t="s">
        <v>1338</v>
      </c>
      <c r="AO61" s="97" t="s">
        <v>1450</v>
      </c>
      <c r="AP61" s="90" t="b">
        <v>0</v>
      </c>
      <c r="AQ61" s="97" t="s">
        <v>997</v>
      </c>
      <c r="AR61" s="90" t="s">
        <v>187</v>
      </c>
      <c r="AS61" s="90">
        <v>0</v>
      </c>
      <c r="AT61" s="90">
        <v>0</v>
      </c>
      <c r="AU61" s="90"/>
      <c r="AV61" s="90"/>
      <c r="AW61" s="90"/>
      <c r="AX61" s="90"/>
      <c r="AY61" s="90"/>
      <c r="AZ61" s="90"/>
      <c r="BA61" s="90"/>
      <c r="BB61" s="90"/>
      <c r="BC61">
        <v>1</v>
      </c>
      <c r="BD61" s="89" t="str">
        <f>REPLACE(INDEX(GroupVertices[Group],MATCH(Edges[[#This Row],[Vertex 1]],GroupVertices[Vertex],0)),1,1,"")</f>
        <v>9</v>
      </c>
      <c r="BE61" s="89" t="str">
        <f>REPLACE(INDEX(GroupVertices[Group],MATCH(Edges[[#This Row],[Vertex 2]],GroupVertices[Vertex],0)),1,1,"")</f>
        <v>9</v>
      </c>
      <c r="BF61" s="49"/>
      <c r="BG61" s="50"/>
      <c r="BH61" s="49"/>
      <c r="BI61" s="50"/>
      <c r="BJ61" s="49"/>
      <c r="BK61" s="50"/>
      <c r="BL61" s="49"/>
      <c r="BM61" s="50"/>
      <c r="BN61" s="49"/>
    </row>
    <row r="62" spans="1:66" ht="15">
      <c r="A62" s="65" t="s">
        <v>249</v>
      </c>
      <c r="B62" s="65" t="s">
        <v>248</v>
      </c>
      <c r="C62" s="66" t="s">
        <v>5817</v>
      </c>
      <c r="D62" s="67">
        <v>1</v>
      </c>
      <c r="E62" s="68" t="s">
        <v>132</v>
      </c>
      <c r="F62" s="69">
        <v>32</v>
      </c>
      <c r="G62" s="66" t="s">
        <v>51</v>
      </c>
      <c r="H62" s="70"/>
      <c r="I62" s="71"/>
      <c r="J62" s="71"/>
      <c r="K62" s="35" t="s">
        <v>66</v>
      </c>
      <c r="L62" s="79">
        <v>62</v>
      </c>
      <c r="M62" s="79"/>
      <c r="N62" s="73"/>
      <c r="O62" s="90" t="s">
        <v>523</v>
      </c>
      <c r="P62" s="93">
        <v>44527.53091435185</v>
      </c>
      <c r="Q62" s="90" t="s">
        <v>546</v>
      </c>
      <c r="R62" s="90"/>
      <c r="S62" s="90"/>
      <c r="T62" s="90"/>
      <c r="U62" s="90"/>
      <c r="V62" s="96" t="str">
        <f>HYPERLINK("https://pbs.twimg.com/profile_images/1288214289489305601/8Hm-nkYT_normal.jpg")</f>
        <v>https://pbs.twimg.com/profile_images/1288214289489305601/8Hm-nkYT_normal.jpg</v>
      </c>
      <c r="W62" s="93">
        <v>44527.53091435185</v>
      </c>
      <c r="X62" s="100">
        <v>44527</v>
      </c>
      <c r="Y62" s="97" t="s">
        <v>745</v>
      </c>
      <c r="Z62" s="96" t="str">
        <f>HYPERLINK("https://twitter.com/rvalimaki/status/1464575866873303041")</f>
        <v>https://twitter.com/rvalimaki/status/1464575866873303041</v>
      </c>
      <c r="AA62" s="90"/>
      <c r="AB62" s="90"/>
      <c r="AC62" s="97" t="s">
        <v>997</v>
      </c>
      <c r="AD62" s="97" t="s">
        <v>995</v>
      </c>
      <c r="AE62" s="90" t="b">
        <v>0</v>
      </c>
      <c r="AF62" s="90">
        <v>2</v>
      </c>
      <c r="AG62" s="97" t="s">
        <v>1351</v>
      </c>
      <c r="AH62" s="90" t="b">
        <v>0</v>
      </c>
      <c r="AI62" s="90" t="s">
        <v>1442</v>
      </c>
      <c r="AJ62" s="90"/>
      <c r="AK62" s="97" t="s">
        <v>1338</v>
      </c>
      <c r="AL62" s="90" t="b">
        <v>0</v>
      </c>
      <c r="AM62" s="90">
        <v>0</v>
      </c>
      <c r="AN62" s="97" t="s">
        <v>1338</v>
      </c>
      <c r="AO62" s="97" t="s">
        <v>1450</v>
      </c>
      <c r="AP62" s="90" t="b">
        <v>0</v>
      </c>
      <c r="AQ62" s="97" t="s">
        <v>995</v>
      </c>
      <c r="AR62" s="90" t="s">
        <v>187</v>
      </c>
      <c r="AS62" s="90">
        <v>0</v>
      </c>
      <c r="AT62" s="90">
        <v>0</v>
      </c>
      <c r="AU62" s="90"/>
      <c r="AV62" s="90"/>
      <c r="AW62" s="90"/>
      <c r="AX62" s="90"/>
      <c r="AY62" s="90"/>
      <c r="AZ62" s="90"/>
      <c r="BA62" s="90"/>
      <c r="BB62" s="90"/>
      <c r="BC62">
        <v>1</v>
      </c>
      <c r="BD62" s="89" t="str">
        <f>REPLACE(INDEX(GroupVertices[Group],MATCH(Edges[[#This Row],[Vertex 1]],GroupVertices[Vertex],0)),1,1,"")</f>
        <v>9</v>
      </c>
      <c r="BE62" s="89" t="str">
        <f>REPLACE(INDEX(GroupVertices[Group],MATCH(Edges[[#This Row],[Vertex 2]],GroupVertices[Vertex],0)),1,1,"")</f>
        <v>9</v>
      </c>
      <c r="BF62" s="49"/>
      <c r="BG62" s="50"/>
      <c r="BH62" s="49"/>
      <c r="BI62" s="50"/>
      <c r="BJ62" s="49"/>
      <c r="BK62" s="50"/>
      <c r="BL62" s="49"/>
      <c r="BM62" s="50"/>
      <c r="BN62" s="49"/>
    </row>
    <row r="63" spans="1:66" ht="15">
      <c r="A63" s="65" t="s">
        <v>249</v>
      </c>
      <c r="B63" s="65" t="s">
        <v>248</v>
      </c>
      <c r="C63" s="66" t="s">
        <v>5817</v>
      </c>
      <c r="D63" s="67">
        <v>1</v>
      </c>
      <c r="E63" s="68" t="s">
        <v>132</v>
      </c>
      <c r="F63" s="69">
        <v>32</v>
      </c>
      <c r="G63" s="66" t="s">
        <v>51</v>
      </c>
      <c r="H63" s="70"/>
      <c r="I63" s="71"/>
      <c r="J63" s="71"/>
      <c r="K63" s="35" t="s">
        <v>66</v>
      </c>
      <c r="L63" s="79">
        <v>63</v>
      </c>
      <c r="M63" s="79"/>
      <c r="N63" s="73"/>
      <c r="O63" s="90" t="s">
        <v>524</v>
      </c>
      <c r="P63" s="93">
        <v>44527.68021990741</v>
      </c>
      <c r="Q63" s="90" t="s">
        <v>547</v>
      </c>
      <c r="R63" s="90"/>
      <c r="S63" s="90"/>
      <c r="T63" s="90"/>
      <c r="U63" s="90"/>
      <c r="V63" s="96" t="str">
        <f>HYPERLINK("https://pbs.twimg.com/profile_images/1288214289489305601/8Hm-nkYT_normal.jpg")</f>
        <v>https://pbs.twimg.com/profile_images/1288214289489305601/8Hm-nkYT_normal.jpg</v>
      </c>
      <c r="W63" s="93">
        <v>44527.68021990741</v>
      </c>
      <c r="X63" s="100">
        <v>44527</v>
      </c>
      <c r="Y63" s="97" t="s">
        <v>746</v>
      </c>
      <c r="Z63" s="96" t="str">
        <f>HYPERLINK("https://twitter.com/rvalimaki/status/1464629974049120257")</f>
        <v>https://twitter.com/rvalimaki/status/1464629974049120257</v>
      </c>
      <c r="AA63" s="90"/>
      <c r="AB63" s="90"/>
      <c r="AC63" s="97" t="s">
        <v>998</v>
      </c>
      <c r="AD63" s="97" t="s">
        <v>1233</v>
      </c>
      <c r="AE63" s="90" t="b">
        <v>0</v>
      </c>
      <c r="AF63" s="90">
        <v>3</v>
      </c>
      <c r="AG63" s="97" t="s">
        <v>1352</v>
      </c>
      <c r="AH63" s="90" t="b">
        <v>0</v>
      </c>
      <c r="AI63" s="90" t="s">
        <v>1442</v>
      </c>
      <c r="AJ63" s="90"/>
      <c r="AK63" s="97" t="s">
        <v>1338</v>
      </c>
      <c r="AL63" s="90" t="b">
        <v>0</v>
      </c>
      <c r="AM63" s="90">
        <v>0</v>
      </c>
      <c r="AN63" s="97" t="s">
        <v>1338</v>
      </c>
      <c r="AO63" s="97" t="s">
        <v>1450</v>
      </c>
      <c r="AP63" s="90" t="b">
        <v>0</v>
      </c>
      <c r="AQ63" s="97" t="s">
        <v>1233</v>
      </c>
      <c r="AR63" s="90" t="s">
        <v>187</v>
      </c>
      <c r="AS63" s="90">
        <v>0</v>
      </c>
      <c r="AT63" s="90">
        <v>0</v>
      </c>
      <c r="AU63" s="90"/>
      <c r="AV63" s="90"/>
      <c r="AW63" s="90"/>
      <c r="AX63" s="90"/>
      <c r="AY63" s="90"/>
      <c r="AZ63" s="90"/>
      <c r="BA63" s="90"/>
      <c r="BB63" s="90"/>
      <c r="BC63">
        <v>1</v>
      </c>
      <c r="BD63" s="89" t="str">
        <f>REPLACE(INDEX(GroupVertices[Group],MATCH(Edges[[#This Row],[Vertex 1]],GroupVertices[Vertex],0)),1,1,"")</f>
        <v>9</v>
      </c>
      <c r="BE63" s="89" t="str">
        <f>REPLACE(INDEX(GroupVertices[Group],MATCH(Edges[[#This Row],[Vertex 2]],GroupVertices[Vertex],0)),1,1,"")</f>
        <v>9</v>
      </c>
      <c r="BF63" s="49"/>
      <c r="BG63" s="50"/>
      <c r="BH63" s="49"/>
      <c r="BI63" s="50"/>
      <c r="BJ63" s="49"/>
      <c r="BK63" s="50"/>
      <c r="BL63" s="49"/>
      <c r="BM63" s="50"/>
      <c r="BN63" s="49"/>
    </row>
    <row r="64" spans="1:66" ht="15">
      <c r="A64" s="65" t="s">
        <v>249</v>
      </c>
      <c r="B64" s="65" t="s">
        <v>397</v>
      </c>
      <c r="C64" s="66" t="s">
        <v>5818</v>
      </c>
      <c r="D64" s="67">
        <v>1</v>
      </c>
      <c r="E64" s="68" t="s">
        <v>132</v>
      </c>
      <c r="F64" s="69">
        <v>32</v>
      </c>
      <c r="G64" s="66" t="s">
        <v>51</v>
      </c>
      <c r="H64" s="70"/>
      <c r="I64" s="71"/>
      <c r="J64" s="71"/>
      <c r="K64" s="35" t="s">
        <v>65</v>
      </c>
      <c r="L64" s="79">
        <v>64</v>
      </c>
      <c r="M64" s="79"/>
      <c r="N64" s="73"/>
      <c r="O64" s="90" t="s">
        <v>524</v>
      </c>
      <c r="P64" s="93">
        <v>44527.53091435185</v>
      </c>
      <c r="Q64" s="90" t="s">
        <v>546</v>
      </c>
      <c r="R64" s="90"/>
      <c r="S64" s="90"/>
      <c r="T64" s="90"/>
      <c r="U64" s="90"/>
      <c r="V64" s="96" t="str">
        <f>HYPERLINK("https://pbs.twimg.com/profile_images/1288214289489305601/8Hm-nkYT_normal.jpg")</f>
        <v>https://pbs.twimg.com/profile_images/1288214289489305601/8Hm-nkYT_normal.jpg</v>
      </c>
      <c r="W64" s="93">
        <v>44527.53091435185</v>
      </c>
      <c r="X64" s="100">
        <v>44527</v>
      </c>
      <c r="Y64" s="97" t="s">
        <v>745</v>
      </c>
      <c r="Z64" s="96" t="str">
        <f>HYPERLINK("https://twitter.com/rvalimaki/status/1464575866873303041")</f>
        <v>https://twitter.com/rvalimaki/status/1464575866873303041</v>
      </c>
      <c r="AA64" s="90"/>
      <c r="AB64" s="90"/>
      <c r="AC64" s="97" t="s">
        <v>997</v>
      </c>
      <c r="AD64" s="97" t="s">
        <v>995</v>
      </c>
      <c r="AE64" s="90" t="b">
        <v>0</v>
      </c>
      <c r="AF64" s="90">
        <v>2</v>
      </c>
      <c r="AG64" s="97" t="s">
        <v>1351</v>
      </c>
      <c r="AH64" s="90" t="b">
        <v>0</v>
      </c>
      <c r="AI64" s="90" t="s">
        <v>1442</v>
      </c>
      <c r="AJ64" s="90"/>
      <c r="AK64" s="97" t="s">
        <v>1338</v>
      </c>
      <c r="AL64" s="90" t="b">
        <v>0</v>
      </c>
      <c r="AM64" s="90">
        <v>0</v>
      </c>
      <c r="AN64" s="97" t="s">
        <v>1338</v>
      </c>
      <c r="AO64" s="97" t="s">
        <v>1450</v>
      </c>
      <c r="AP64" s="90" t="b">
        <v>0</v>
      </c>
      <c r="AQ64" s="97" t="s">
        <v>995</v>
      </c>
      <c r="AR64" s="90" t="s">
        <v>187</v>
      </c>
      <c r="AS64" s="90">
        <v>0</v>
      </c>
      <c r="AT64" s="90">
        <v>0</v>
      </c>
      <c r="AU64" s="90"/>
      <c r="AV64" s="90"/>
      <c r="AW64" s="90"/>
      <c r="AX64" s="90"/>
      <c r="AY64" s="90"/>
      <c r="AZ64" s="90"/>
      <c r="BA64" s="90"/>
      <c r="BB64" s="90"/>
      <c r="BC64">
        <v>2</v>
      </c>
      <c r="BD64" s="89" t="str">
        <f>REPLACE(INDEX(GroupVertices[Group],MATCH(Edges[[#This Row],[Vertex 1]],GroupVertices[Vertex],0)),1,1,"")</f>
        <v>9</v>
      </c>
      <c r="BE64" s="89" t="str">
        <f>REPLACE(INDEX(GroupVertices[Group],MATCH(Edges[[#This Row],[Vertex 2]],GroupVertices[Vertex],0)),1,1,"")</f>
        <v>9</v>
      </c>
      <c r="BF64" s="49"/>
      <c r="BG64" s="50"/>
      <c r="BH64" s="49"/>
      <c r="BI64" s="50"/>
      <c r="BJ64" s="49"/>
      <c r="BK64" s="50"/>
      <c r="BL64" s="49"/>
      <c r="BM64" s="50"/>
      <c r="BN64" s="49"/>
    </row>
    <row r="65" spans="1:66" ht="15">
      <c r="A65" s="65" t="s">
        <v>249</v>
      </c>
      <c r="B65" s="65" t="s">
        <v>397</v>
      </c>
      <c r="C65" s="66" t="s">
        <v>5818</v>
      </c>
      <c r="D65" s="67">
        <v>1</v>
      </c>
      <c r="E65" s="68" t="s">
        <v>132</v>
      </c>
      <c r="F65" s="69">
        <v>32</v>
      </c>
      <c r="G65" s="66" t="s">
        <v>51</v>
      </c>
      <c r="H65" s="70"/>
      <c r="I65" s="71"/>
      <c r="J65" s="71"/>
      <c r="K65" s="35" t="s">
        <v>65</v>
      </c>
      <c r="L65" s="79">
        <v>65</v>
      </c>
      <c r="M65" s="79"/>
      <c r="N65" s="73"/>
      <c r="O65" s="90" t="s">
        <v>524</v>
      </c>
      <c r="P65" s="93">
        <v>44527.68021990741</v>
      </c>
      <c r="Q65" s="90" t="s">
        <v>547</v>
      </c>
      <c r="R65" s="90"/>
      <c r="S65" s="90"/>
      <c r="T65" s="90"/>
      <c r="U65" s="90"/>
      <c r="V65" s="96" t="str">
        <f>HYPERLINK("https://pbs.twimg.com/profile_images/1288214289489305601/8Hm-nkYT_normal.jpg")</f>
        <v>https://pbs.twimg.com/profile_images/1288214289489305601/8Hm-nkYT_normal.jpg</v>
      </c>
      <c r="W65" s="93">
        <v>44527.68021990741</v>
      </c>
      <c r="X65" s="100">
        <v>44527</v>
      </c>
      <c r="Y65" s="97" t="s">
        <v>746</v>
      </c>
      <c r="Z65" s="96" t="str">
        <f>HYPERLINK("https://twitter.com/rvalimaki/status/1464629974049120257")</f>
        <v>https://twitter.com/rvalimaki/status/1464629974049120257</v>
      </c>
      <c r="AA65" s="90"/>
      <c r="AB65" s="90"/>
      <c r="AC65" s="97" t="s">
        <v>998</v>
      </c>
      <c r="AD65" s="97" t="s">
        <v>1233</v>
      </c>
      <c r="AE65" s="90" t="b">
        <v>0</v>
      </c>
      <c r="AF65" s="90">
        <v>3</v>
      </c>
      <c r="AG65" s="97" t="s">
        <v>1352</v>
      </c>
      <c r="AH65" s="90" t="b">
        <v>0</v>
      </c>
      <c r="AI65" s="90" t="s">
        <v>1442</v>
      </c>
      <c r="AJ65" s="90"/>
      <c r="AK65" s="97" t="s">
        <v>1338</v>
      </c>
      <c r="AL65" s="90" t="b">
        <v>0</v>
      </c>
      <c r="AM65" s="90">
        <v>0</v>
      </c>
      <c r="AN65" s="97" t="s">
        <v>1338</v>
      </c>
      <c r="AO65" s="97" t="s">
        <v>1450</v>
      </c>
      <c r="AP65" s="90" t="b">
        <v>0</v>
      </c>
      <c r="AQ65" s="97" t="s">
        <v>1233</v>
      </c>
      <c r="AR65" s="90" t="s">
        <v>187</v>
      </c>
      <c r="AS65" s="90">
        <v>0</v>
      </c>
      <c r="AT65" s="90">
        <v>0</v>
      </c>
      <c r="AU65" s="90"/>
      <c r="AV65" s="90"/>
      <c r="AW65" s="90"/>
      <c r="AX65" s="90"/>
      <c r="AY65" s="90"/>
      <c r="AZ65" s="90"/>
      <c r="BA65" s="90"/>
      <c r="BB65" s="90"/>
      <c r="BC65">
        <v>2</v>
      </c>
      <c r="BD65" s="89" t="str">
        <f>REPLACE(INDEX(GroupVertices[Group],MATCH(Edges[[#This Row],[Vertex 1]],GroupVertices[Vertex],0)),1,1,"")</f>
        <v>9</v>
      </c>
      <c r="BE65" s="89" t="str">
        <f>REPLACE(INDEX(GroupVertices[Group],MATCH(Edges[[#This Row],[Vertex 2]],GroupVertices[Vertex],0)),1,1,"")</f>
        <v>9</v>
      </c>
      <c r="BF65" s="49"/>
      <c r="BG65" s="50"/>
      <c r="BH65" s="49"/>
      <c r="BI65" s="50"/>
      <c r="BJ65" s="49"/>
      <c r="BK65" s="50"/>
      <c r="BL65" s="49"/>
      <c r="BM65" s="50"/>
      <c r="BN65" s="49"/>
    </row>
    <row r="66" spans="1:66" ht="15">
      <c r="A66" s="65" t="s">
        <v>249</v>
      </c>
      <c r="B66" s="65" t="s">
        <v>398</v>
      </c>
      <c r="C66" s="66" t="s">
        <v>5817</v>
      </c>
      <c r="D66" s="67">
        <v>1</v>
      </c>
      <c r="E66" s="68" t="s">
        <v>132</v>
      </c>
      <c r="F66" s="69">
        <v>32</v>
      </c>
      <c r="G66" s="66" t="s">
        <v>51</v>
      </c>
      <c r="H66" s="70"/>
      <c r="I66" s="71"/>
      <c r="J66" s="71"/>
      <c r="K66" s="35" t="s">
        <v>65</v>
      </c>
      <c r="L66" s="79">
        <v>66</v>
      </c>
      <c r="M66" s="79"/>
      <c r="N66" s="73"/>
      <c r="O66" s="90" t="s">
        <v>524</v>
      </c>
      <c r="P66" s="93">
        <v>44527.53091435185</v>
      </c>
      <c r="Q66" s="90" t="s">
        <v>546</v>
      </c>
      <c r="R66" s="90"/>
      <c r="S66" s="90"/>
      <c r="T66" s="90"/>
      <c r="U66" s="90"/>
      <c r="V66" s="96" t="str">
        <f>HYPERLINK("https://pbs.twimg.com/profile_images/1288214289489305601/8Hm-nkYT_normal.jpg")</f>
        <v>https://pbs.twimg.com/profile_images/1288214289489305601/8Hm-nkYT_normal.jpg</v>
      </c>
      <c r="W66" s="93">
        <v>44527.53091435185</v>
      </c>
      <c r="X66" s="100">
        <v>44527</v>
      </c>
      <c r="Y66" s="97" t="s">
        <v>745</v>
      </c>
      <c r="Z66" s="96" t="str">
        <f>HYPERLINK("https://twitter.com/rvalimaki/status/1464575866873303041")</f>
        <v>https://twitter.com/rvalimaki/status/1464575866873303041</v>
      </c>
      <c r="AA66" s="90"/>
      <c r="AB66" s="90"/>
      <c r="AC66" s="97" t="s">
        <v>997</v>
      </c>
      <c r="AD66" s="97" t="s">
        <v>995</v>
      </c>
      <c r="AE66" s="90" t="b">
        <v>0</v>
      </c>
      <c r="AF66" s="90">
        <v>2</v>
      </c>
      <c r="AG66" s="97" t="s">
        <v>1351</v>
      </c>
      <c r="AH66" s="90" t="b">
        <v>0</v>
      </c>
      <c r="AI66" s="90" t="s">
        <v>1442</v>
      </c>
      <c r="AJ66" s="90"/>
      <c r="AK66" s="97" t="s">
        <v>1338</v>
      </c>
      <c r="AL66" s="90" t="b">
        <v>0</v>
      </c>
      <c r="AM66" s="90">
        <v>0</v>
      </c>
      <c r="AN66" s="97" t="s">
        <v>1338</v>
      </c>
      <c r="AO66" s="97" t="s">
        <v>1450</v>
      </c>
      <c r="AP66" s="90" t="b">
        <v>0</v>
      </c>
      <c r="AQ66" s="97" t="s">
        <v>995</v>
      </c>
      <c r="AR66" s="90" t="s">
        <v>187</v>
      </c>
      <c r="AS66" s="90">
        <v>0</v>
      </c>
      <c r="AT66" s="90">
        <v>0</v>
      </c>
      <c r="AU66" s="90"/>
      <c r="AV66" s="90"/>
      <c r="AW66" s="90"/>
      <c r="AX66" s="90"/>
      <c r="AY66" s="90"/>
      <c r="AZ66" s="90"/>
      <c r="BA66" s="90"/>
      <c r="BB66" s="90"/>
      <c r="BC66">
        <v>1</v>
      </c>
      <c r="BD66" s="89" t="str">
        <f>REPLACE(INDEX(GroupVertices[Group],MATCH(Edges[[#This Row],[Vertex 1]],GroupVertices[Vertex],0)),1,1,"")</f>
        <v>9</v>
      </c>
      <c r="BE66" s="89" t="str">
        <f>REPLACE(INDEX(GroupVertices[Group],MATCH(Edges[[#This Row],[Vertex 2]],GroupVertices[Vertex],0)),1,1,"")</f>
        <v>9</v>
      </c>
      <c r="BF66" s="49"/>
      <c r="BG66" s="50"/>
      <c r="BH66" s="49"/>
      <c r="BI66" s="50"/>
      <c r="BJ66" s="49"/>
      <c r="BK66" s="50"/>
      <c r="BL66" s="49"/>
      <c r="BM66" s="50"/>
      <c r="BN66" s="49"/>
    </row>
    <row r="67" spans="1:66" ht="15">
      <c r="A67" s="65" t="s">
        <v>249</v>
      </c>
      <c r="B67" s="65" t="s">
        <v>398</v>
      </c>
      <c r="C67" s="66" t="s">
        <v>5817</v>
      </c>
      <c r="D67" s="67">
        <v>1</v>
      </c>
      <c r="E67" s="68" t="s">
        <v>132</v>
      </c>
      <c r="F67" s="69">
        <v>32</v>
      </c>
      <c r="G67" s="66" t="s">
        <v>51</v>
      </c>
      <c r="H67" s="70"/>
      <c r="I67" s="71"/>
      <c r="J67" s="71"/>
      <c r="K67" s="35" t="s">
        <v>65</v>
      </c>
      <c r="L67" s="79">
        <v>67</v>
      </c>
      <c r="M67" s="79"/>
      <c r="N67" s="73"/>
      <c r="O67" s="90" t="s">
        <v>523</v>
      </c>
      <c r="P67" s="93">
        <v>44527.68021990741</v>
      </c>
      <c r="Q67" s="90" t="s">
        <v>547</v>
      </c>
      <c r="R67" s="90"/>
      <c r="S67" s="90"/>
      <c r="T67" s="90"/>
      <c r="U67" s="90"/>
      <c r="V67" s="96" t="str">
        <f>HYPERLINK("https://pbs.twimg.com/profile_images/1288214289489305601/8Hm-nkYT_normal.jpg")</f>
        <v>https://pbs.twimg.com/profile_images/1288214289489305601/8Hm-nkYT_normal.jpg</v>
      </c>
      <c r="W67" s="93">
        <v>44527.68021990741</v>
      </c>
      <c r="X67" s="100">
        <v>44527</v>
      </c>
      <c r="Y67" s="97" t="s">
        <v>746</v>
      </c>
      <c r="Z67" s="96" t="str">
        <f>HYPERLINK("https://twitter.com/rvalimaki/status/1464629974049120257")</f>
        <v>https://twitter.com/rvalimaki/status/1464629974049120257</v>
      </c>
      <c r="AA67" s="90"/>
      <c r="AB67" s="90"/>
      <c r="AC67" s="97" t="s">
        <v>998</v>
      </c>
      <c r="AD67" s="97" t="s">
        <v>1233</v>
      </c>
      <c r="AE67" s="90" t="b">
        <v>0</v>
      </c>
      <c r="AF67" s="90">
        <v>3</v>
      </c>
      <c r="AG67" s="97" t="s">
        <v>1352</v>
      </c>
      <c r="AH67" s="90" t="b">
        <v>0</v>
      </c>
      <c r="AI67" s="90" t="s">
        <v>1442</v>
      </c>
      <c r="AJ67" s="90"/>
      <c r="AK67" s="97" t="s">
        <v>1338</v>
      </c>
      <c r="AL67" s="90" t="b">
        <v>0</v>
      </c>
      <c r="AM67" s="90">
        <v>0</v>
      </c>
      <c r="AN67" s="97" t="s">
        <v>1338</v>
      </c>
      <c r="AO67" s="97" t="s">
        <v>1450</v>
      </c>
      <c r="AP67" s="90" t="b">
        <v>0</v>
      </c>
      <c r="AQ67" s="97" t="s">
        <v>1233</v>
      </c>
      <c r="AR67" s="90" t="s">
        <v>187</v>
      </c>
      <c r="AS67" s="90">
        <v>0</v>
      </c>
      <c r="AT67" s="90">
        <v>0</v>
      </c>
      <c r="AU67" s="90"/>
      <c r="AV67" s="90"/>
      <c r="AW67" s="90"/>
      <c r="AX67" s="90"/>
      <c r="AY67" s="90"/>
      <c r="AZ67" s="90"/>
      <c r="BA67" s="90"/>
      <c r="BB67" s="90"/>
      <c r="BC67">
        <v>1</v>
      </c>
      <c r="BD67" s="89" t="str">
        <f>REPLACE(INDEX(GroupVertices[Group],MATCH(Edges[[#This Row],[Vertex 1]],GroupVertices[Vertex],0)),1,1,"")</f>
        <v>9</v>
      </c>
      <c r="BE67" s="89" t="str">
        <f>REPLACE(INDEX(GroupVertices[Group],MATCH(Edges[[#This Row],[Vertex 2]],GroupVertices[Vertex],0)),1,1,"")</f>
        <v>9</v>
      </c>
      <c r="BF67" s="49"/>
      <c r="BG67" s="50"/>
      <c r="BH67" s="49"/>
      <c r="BI67" s="50"/>
      <c r="BJ67" s="49"/>
      <c r="BK67" s="50"/>
      <c r="BL67" s="49"/>
      <c r="BM67" s="50"/>
      <c r="BN67" s="49"/>
    </row>
    <row r="68" spans="1:66" ht="15">
      <c r="A68" s="65" t="s">
        <v>249</v>
      </c>
      <c r="B68" s="65" t="s">
        <v>271</v>
      </c>
      <c r="C68" s="66" t="s">
        <v>5818</v>
      </c>
      <c r="D68" s="67">
        <v>1</v>
      </c>
      <c r="E68" s="68" t="s">
        <v>132</v>
      </c>
      <c r="F68" s="69">
        <v>32</v>
      </c>
      <c r="G68" s="66" t="s">
        <v>51</v>
      </c>
      <c r="H68" s="70"/>
      <c r="I68" s="71"/>
      <c r="J68" s="71"/>
      <c r="K68" s="35" t="s">
        <v>65</v>
      </c>
      <c r="L68" s="79">
        <v>68</v>
      </c>
      <c r="M68" s="79"/>
      <c r="N68" s="73"/>
      <c r="O68" s="90" t="s">
        <v>524</v>
      </c>
      <c r="P68" s="93">
        <v>44527.53091435185</v>
      </c>
      <c r="Q68" s="90" t="s">
        <v>546</v>
      </c>
      <c r="R68" s="90"/>
      <c r="S68" s="90"/>
      <c r="T68" s="90"/>
      <c r="U68" s="90"/>
      <c r="V68" s="96" t="str">
        <f>HYPERLINK("https://pbs.twimg.com/profile_images/1288214289489305601/8Hm-nkYT_normal.jpg")</f>
        <v>https://pbs.twimg.com/profile_images/1288214289489305601/8Hm-nkYT_normal.jpg</v>
      </c>
      <c r="W68" s="93">
        <v>44527.53091435185</v>
      </c>
      <c r="X68" s="100">
        <v>44527</v>
      </c>
      <c r="Y68" s="97" t="s">
        <v>745</v>
      </c>
      <c r="Z68" s="96" t="str">
        <f>HYPERLINK("https://twitter.com/rvalimaki/status/1464575866873303041")</f>
        <v>https://twitter.com/rvalimaki/status/1464575866873303041</v>
      </c>
      <c r="AA68" s="90"/>
      <c r="AB68" s="90"/>
      <c r="AC68" s="97" t="s">
        <v>997</v>
      </c>
      <c r="AD68" s="97" t="s">
        <v>995</v>
      </c>
      <c r="AE68" s="90" t="b">
        <v>0</v>
      </c>
      <c r="AF68" s="90">
        <v>2</v>
      </c>
      <c r="AG68" s="97" t="s">
        <v>1351</v>
      </c>
      <c r="AH68" s="90" t="b">
        <v>0</v>
      </c>
      <c r="AI68" s="90" t="s">
        <v>1442</v>
      </c>
      <c r="AJ68" s="90"/>
      <c r="AK68" s="97" t="s">
        <v>1338</v>
      </c>
      <c r="AL68" s="90" t="b">
        <v>0</v>
      </c>
      <c r="AM68" s="90">
        <v>0</v>
      </c>
      <c r="AN68" s="97" t="s">
        <v>1338</v>
      </c>
      <c r="AO68" s="97" t="s">
        <v>1450</v>
      </c>
      <c r="AP68" s="90" t="b">
        <v>0</v>
      </c>
      <c r="AQ68" s="97" t="s">
        <v>995</v>
      </c>
      <c r="AR68" s="90" t="s">
        <v>187</v>
      </c>
      <c r="AS68" s="90">
        <v>0</v>
      </c>
      <c r="AT68" s="90">
        <v>0</v>
      </c>
      <c r="AU68" s="90"/>
      <c r="AV68" s="90"/>
      <c r="AW68" s="90"/>
      <c r="AX68" s="90"/>
      <c r="AY68" s="90"/>
      <c r="AZ68" s="90"/>
      <c r="BA68" s="90"/>
      <c r="BB68" s="90"/>
      <c r="BC68">
        <v>2</v>
      </c>
      <c r="BD68" s="89" t="str">
        <f>REPLACE(INDEX(GroupVertices[Group],MATCH(Edges[[#This Row],[Vertex 1]],GroupVertices[Vertex],0)),1,1,"")</f>
        <v>9</v>
      </c>
      <c r="BE68" s="89" t="str">
        <f>REPLACE(INDEX(GroupVertices[Group],MATCH(Edges[[#This Row],[Vertex 2]],GroupVertices[Vertex],0)),1,1,"")</f>
        <v>9</v>
      </c>
      <c r="BF68" s="49"/>
      <c r="BG68" s="50"/>
      <c r="BH68" s="49"/>
      <c r="BI68" s="50"/>
      <c r="BJ68" s="49"/>
      <c r="BK68" s="50"/>
      <c r="BL68" s="49"/>
      <c r="BM68" s="50"/>
      <c r="BN68" s="49"/>
    </row>
    <row r="69" spans="1:66" ht="15">
      <c r="A69" s="65" t="s">
        <v>249</v>
      </c>
      <c r="B69" s="65" t="s">
        <v>399</v>
      </c>
      <c r="C69" s="66" t="s">
        <v>5818</v>
      </c>
      <c r="D69" s="67">
        <v>1</v>
      </c>
      <c r="E69" s="68" t="s">
        <v>132</v>
      </c>
      <c r="F69" s="69">
        <v>32</v>
      </c>
      <c r="G69" s="66" t="s">
        <v>51</v>
      </c>
      <c r="H69" s="70"/>
      <c r="I69" s="71"/>
      <c r="J69" s="71"/>
      <c r="K69" s="35" t="s">
        <v>65</v>
      </c>
      <c r="L69" s="79">
        <v>69</v>
      </c>
      <c r="M69" s="79"/>
      <c r="N69" s="73"/>
      <c r="O69" s="90" t="s">
        <v>524</v>
      </c>
      <c r="P69" s="93">
        <v>44527.53091435185</v>
      </c>
      <c r="Q69" s="90" t="s">
        <v>546</v>
      </c>
      <c r="R69" s="90"/>
      <c r="S69" s="90"/>
      <c r="T69" s="90"/>
      <c r="U69" s="90"/>
      <c r="V69" s="96" t="str">
        <f>HYPERLINK("https://pbs.twimg.com/profile_images/1288214289489305601/8Hm-nkYT_normal.jpg")</f>
        <v>https://pbs.twimg.com/profile_images/1288214289489305601/8Hm-nkYT_normal.jpg</v>
      </c>
      <c r="W69" s="93">
        <v>44527.53091435185</v>
      </c>
      <c r="X69" s="100">
        <v>44527</v>
      </c>
      <c r="Y69" s="97" t="s">
        <v>745</v>
      </c>
      <c r="Z69" s="96" t="str">
        <f>HYPERLINK("https://twitter.com/rvalimaki/status/1464575866873303041")</f>
        <v>https://twitter.com/rvalimaki/status/1464575866873303041</v>
      </c>
      <c r="AA69" s="90"/>
      <c r="AB69" s="90"/>
      <c r="AC69" s="97" t="s">
        <v>997</v>
      </c>
      <c r="AD69" s="97" t="s">
        <v>995</v>
      </c>
      <c r="AE69" s="90" t="b">
        <v>0</v>
      </c>
      <c r="AF69" s="90">
        <v>2</v>
      </c>
      <c r="AG69" s="97" t="s">
        <v>1351</v>
      </c>
      <c r="AH69" s="90" t="b">
        <v>0</v>
      </c>
      <c r="AI69" s="90" t="s">
        <v>1442</v>
      </c>
      <c r="AJ69" s="90"/>
      <c r="AK69" s="97" t="s">
        <v>1338</v>
      </c>
      <c r="AL69" s="90" t="b">
        <v>0</v>
      </c>
      <c r="AM69" s="90">
        <v>0</v>
      </c>
      <c r="AN69" s="97" t="s">
        <v>1338</v>
      </c>
      <c r="AO69" s="97" t="s">
        <v>1450</v>
      </c>
      <c r="AP69" s="90" t="b">
        <v>0</v>
      </c>
      <c r="AQ69" s="97" t="s">
        <v>995</v>
      </c>
      <c r="AR69" s="90" t="s">
        <v>187</v>
      </c>
      <c r="AS69" s="90">
        <v>0</v>
      </c>
      <c r="AT69" s="90">
        <v>0</v>
      </c>
      <c r="AU69" s="90"/>
      <c r="AV69" s="90"/>
      <c r="AW69" s="90"/>
      <c r="AX69" s="90"/>
      <c r="AY69" s="90"/>
      <c r="AZ69" s="90"/>
      <c r="BA69" s="90"/>
      <c r="BB69" s="90"/>
      <c r="BC69">
        <v>2</v>
      </c>
      <c r="BD69" s="89" t="str">
        <f>REPLACE(INDEX(GroupVertices[Group],MATCH(Edges[[#This Row],[Vertex 1]],GroupVertices[Vertex],0)),1,1,"")</f>
        <v>9</v>
      </c>
      <c r="BE69" s="89" t="str">
        <f>REPLACE(INDEX(GroupVertices[Group],MATCH(Edges[[#This Row],[Vertex 2]],GroupVertices[Vertex],0)),1,1,"")</f>
        <v>9</v>
      </c>
      <c r="BF69" s="49">
        <v>0</v>
      </c>
      <c r="BG69" s="50">
        <v>0</v>
      </c>
      <c r="BH69" s="49">
        <v>0</v>
      </c>
      <c r="BI69" s="50">
        <v>0</v>
      </c>
      <c r="BJ69" s="49">
        <v>0</v>
      </c>
      <c r="BK69" s="50">
        <v>0</v>
      </c>
      <c r="BL69" s="49">
        <v>34</v>
      </c>
      <c r="BM69" s="50">
        <v>100</v>
      </c>
      <c r="BN69" s="49">
        <v>34</v>
      </c>
    </row>
    <row r="70" spans="1:66" ht="15">
      <c r="A70" s="65" t="s">
        <v>249</v>
      </c>
      <c r="B70" s="65" t="s">
        <v>271</v>
      </c>
      <c r="C70" s="66" t="s">
        <v>5818</v>
      </c>
      <c r="D70" s="67">
        <v>1</v>
      </c>
      <c r="E70" s="68" t="s">
        <v>132</v>
      </c>
      <c r="F70" s="69">
        <v>32</v>
      </c>
      <c r="G70" s="66" t="s">
        <v>51</v>
      </c>
      <c r="H70" s="70"/>
      <c r="I70" s="71"/>
      <c r="J70" s="71"/>
      <c r="K70" s="35" t="s">
        <v>65</v>
      </c>
      <c r="L70" s="79">
        <v>70</v>
      </c>
      <c r="M70" s="79"/>
      <c r="N70" s="73"/>
      <c r="O70" s="90" t="s">
        <v>524</v>
      </c>
      <c r="P70" s="93">
        <v>44527.68021990741</v>
      </c>
      <c r="Q70" s="90" t="s">
        <v>547</v>
      </c>
      <c r="R70" s="90"/>
      <c r="S70" s="90"/>
      <c r="T70" s="90"/>
      <c r="U70" s="90"/>
      <c r="V70" s="96" t="str">
        <f>HYPERLINK("https://pbs.twimg.com/profile_images/1288214289489305601/8Hm-nkYT_normal.jpg")</f>
        <v>https://pbs.twimg.com/profile_images/1288214289489305601/8Hm-nkYT_normal.jpg</v>
      </c>
      <c r="W70" s="93">
        <v>44527.68021990741</v>
      </c>
      <c r="X70" s="100">
        <v>44527</v>
      </c>
      <c r="Y70" s="97" t="s">
        <v>746</v>
      </c>
      <c r="Z70" s="96" t="str">
        <f>HYPERLINK("https://twitter.com/rvalimaki/status/1464629974049120257")</f>
        <v>https://twitter.com/rvalimaki/status/1464629974049120257</v>
      </c>
      <c r="AA70" s="90"/>
      <c r="AB70" s="90"/>
      <c r="AC70" s="97" t="s">
        <v>998</v>
      </c>
      <c r="AD70" s="97" t="s">
        <v>1233</v>
      </c>
      <c r="AE70" s="90" t="b">
        <v>0</v>
      </c>
      <c r="AF70" s="90">
        <v>3</v>
      </c>
      <c r="AG70" s="97" t="s">
        <v>1352</v>
      </c>
      <c r="AH70" s="90" t="b">
        <v>0</v>
      </c>
      <c r="AI70" s="90" t="s">
        <v>1442</v>
      </c>
      <c r="AJ70" s="90"/>
      <c r="AK70" s="97" t="s">
        <v>1338</v>
      </c>
      <c r="AL70" s="90" t="b">
        <v>0</v>
      </c>
      <c r="AM70" s="90">
        <v>0</v>
      </c>
      <c r="AN70" s="97" t="s">
        <v>1338</v>
      </c>
      <c r="AO70" s="97" t="s">
        <v>1450</v>
      </c>
      <c r="AP70" s="90" t="b">
        <v>0</v>
      </c>
      <c r="AQ70" s="97" t="s">
        <v>1233</v>
      </c>
      <c r="AR70" s="90" t="s">
        <v>187</v>
      </c>
      <c r="AS70" s="90">
        <v>0</v>
      </c>
      <c r="AT70" s="90">
        <v>0</v>
      </c>
      <c r="AU70" s="90"/>
      <c r="AV70" s="90"/>
      <c r="AW70" s="90"/>
      <c r="AX70" s="90"/>
      <c r="AY70" s="90"/>
      <c r="AZ70" s="90"/>
      <c r="BA70" s="90"/>
      <c r="BB70" s="90"/>
      <c r="BC70">
        <v>2</v>
      </c>
      <c r="BD70" s="89" t="str">
        <f>REPLACE(INDEX(GroupVertices[Group],MATCH(Edges[[#This Row],[Vertex 1]],GroupVertices[Vertex],0)),1,1,"")</f>
        <v>9</v>
      </c>
      <c r="BE70" s="89" t="str">
        <f>REPLACE(INDEX(GroupVertices[Group],MATCH(Edges[[#This Row],[Vertex 2]],GroupVertices[Vertex],0)),1,1,"")</f>
        <v>9</v>
      </c>
      <c r="BF70" s="49"/>
      <c r="BG70" s="50"/>
      <c r="BH70" s="49"/>
      <c r="BI70" s="50"/>
      <c r="BJ70" s="49"/>
      <c r="BK70" s="50"/>
      <c r="BL70" s="49"/>
      <c r="BM70" s="50"/>
      <c r="BN70" s="49"/>
    </row>
    <row r="71" spans="1:66" ht="15">
      <c r="A71" s="65" t="s">
        <v>249</v>
      </c>
      <c r="B71" s="65" t="s">
        <v>399</v>
      </c>
      <c r="C71" s="66" t="s">
        <v>5818</v>
      </c>
      <c r="D71" s="67">
        <v>1</v>
      </c>
      <c r="E71" s="68" t="s">
        <v>132</v>
      </c>
      <c r="F71" s="69">
        <v>32</v>
      </c>
      <c r="G71" s="66" t="s">
        <v>51</v>
      </c>
      <c r="H71" s="70"/>
      <c r="I71" s="71"/>
      <c r="J71" s="71"/>
      <c r="K71" s="35" t="s">
        <v>65</v>
      </c>
      <c r="L71" s="79">
        <v>71</v>
      </c>
      <c r="M71" s="79"/>
      <c r="N71" s="73"/>
      <c r="O71" s="90" t="s">
        <v>524</v>
      </c>
      <c r="P71" s="93">
        <v>44527.68021990741</v>
      </c>
      <c r="Q71" s="90" t="s">
        <v>547</v>
      </c>
      <c r="R71" s="90"/>
      <c r="S71" s="90"/>
      <c r="T71" s="90"/>
      <c r="U71" s="90"/>
      <c r="V71" s="96" t="str">
        <f>HYPERLINK("https://pbs.twimg.com/profile_images/1288214289489305601/8Hm-nkYT_normal.jpg")</f>
        <v>https://pbs.twimg.com/profile_images/1288214289489305601/8Hm-nkYT_normal.jpg</v>
      </c>
      <c r="W71" s="93">
        <v>44527.68021990741</v>
      </c>
      <c r="X71" s="100">
        <v>44527</v>
      </c>
      <c r="Y71" s="97" t="s">
        <v>746</v>
      </c>
      <c r="Z71" s="96" t="str">
        <f>HYPERLINK("https://twitter.com/rvalimaki/status/1464629974049120257")</f>
        <v>https://twitter.com/rvalimaki/status/1464629974049120257</v>
      </c>
      <c r="AA71" s="90"/>
      <c r="AB71" s="90"/>
      <c r="AC71" s="97" t="s">
        <v>998</v>
      </c>
      <c r="AD71" s="97" t="s">
        <v>1233</v>
      </c>
      <c r="AE71" s="90" t="b">
        <v>0</v>
      </c>
      <c r="AF71" s="90">
        <v>3</v>
      </c>
      <c r="AG71" s="97" t="s">
        <v>1352</v>
      </c>
      <c r="AH71" s="90" t="b">
        <v>0</v>
      </c>
      <c r="AI71" s="90" t="s">
        <v>1442</v>
      </c>
      <c r="AJ71" s="90"/>
      <c r="AK71" s="97" t="s">
        <v>1338</v>
      </c>
      <c r="AL71" s="90" t="b">
        <v>0</v>
      </c>
      <c r="AM71" s="90">
        <v>0</v>
      </c>
      <c r="AN71" s="97" t="s">
        <v>1338</v>
      </c>
      <c r="AO71" s="97" t="s">
        <v>1450</v>
      </c>
      <c r="AP71" s="90" t="b">
        <v>0</v>
      </c>
      <c r="AQ71" s="97" t="s">
        <v>1233</v>
      </c>
      <c r="AR71" s="90" t="s">
        <v>187</v>
      </c>
      <c r="AS71" s="90">
        <v>0</v>
      </c>
      <c r="AT71" s="90">
        <v>0</v>
      </c>
      <c r="AU71" s="90"/>
      <c r="AV71" s="90"/>
      <c r="AW71" s="90"/>
      <c r="AX71" s="90"/>
      <c r="AY71" s="90"/>
      <c r="AZ71" s="90"/>
      <c r="BA71" s="90"/>
      <c r="BB71" s="90"/>
      <c r="BC71">
        <v>2</v>
      </c>
      <c r="BD71" s="89" t="str">
        <f>REPLACE(INDEX(GroupVertices[Group],MATCH(Edges[[#This Row],[Vertex 1]],GroupVertices[Vertex],0)),1,1,"")</f>
        <v>9</v>
      </c>
      <c r="BE71" s="89" t="str">
        <f>REPLACE(INDEX(GroupVertices[Group],MATCH(Edges[[#This Row],[Vertex 2]],GroupVertices[Vertex],0)),1,1,"")</f>
        <v>9</v>
      </c>
      <c r="BF71" s="49">
        <v>1</v>
      </c>
      <c r="BG71" s="50">
        <v>2.4390243902439024</v>
      </c>
      <c r="BH71" s="49">
        <v>0</v>
      </c>
      <c r="BI71" s="50">
        <v>0</v>
      </c>
      <c r="BJ71" s="49">
        <v>0</v>
      </c>
      <c r="BK71" s="50">
        <v>0</v>
      </c>
      <c r="BL71" s="49">
        <v>40</v>
      </c>
      <c r="BM71" s="50">
        <v>97.5609756097561</v>
      </c>
      <c r="BN71" s="49">
        <v>41</v>
      </c>
    </row>
    <row r="72" spans="1:66" ht="15">
      <c r="A72" s="65" t="s">
        <v>250</v>
      </c>
      <c r="B72" s="65" t="s">
        <v>400</v>
      </c>
      <c r="C72" s="66" t="s">
        <v>5817</v>
      </c>
      <c r="D72" s="67">
        <v>1</v>
      </c>
      <c r="E72" s="68" t="s">
        <v>132</v>
      </c>
      <c r="F72" s="69">
        <v>32</v>
      </c>
      <c r="G72" s="66" t="s">
        <v>51</v>
      </c>
      <c r="H72" s="70"/>
      <c r="I72" s="71"/>
      <c r="J72" s="71"/>
      <c r="K72" s="35" t="s">
        <v>65</v>
      </c>
      <c r="L72" s="79">
        <v>72</v>
      </c>
      <c r="M72" s="79"/>
      <c r="N72" s="73"/>
      <c r="O72" s="90" t="s">
        <v>523</v>
      </c>
      <c r="P72" s="93">
        <v>44527.73202546296</v>
      </c>
      <c r="Q72" s="90" t="s">
        <v>548</v>
      </c>
      <c r="R72" s="96" t="str">
        <f>HYPERLINK("https://twitter.com/JMelart/status/1464528600175194112?t=8W7vxt5OKB2HWb90z_Ifig&amp;s=19")</f>
        <v>https://twitter.com/JMelart/status/1464528600175194112?t=8W7vxt5OKB2HWb90z_Ifig&amp;s=19</v>
      </c>
      <c r="S72" s="90" t="s">
        <v>693</v>
      </c>
      <c r="T72" s="90"/>
      <c r="U72" s="90"/>
      <c r="V72" s="96" t="str">
        <f>HYPERLINK("https://abs.twimg.com/sticky/default_profile_images/default_profile_normal.png")</f>
        <v>https://abs.twimg.com/sticky/default_profile_images/default_profile_normal.png</v>
      </c>
      <c r="W72" s="93">
        <v>44527.73202546296</v>
      </c>
      <c r="X72" s="100">
        <v>44527</v>
      </c>
      <c r="Y72" s="97" t="s">
        <v>747</v>
      </c>
      <c r="Z72" s="96" t="str">
        <f>HYPERLINK("https://twitter.com/ristoreipas10/status/1464648746524975105")</f>
        <v>https://twitter.com/ristoreipas10/status/1464648746524975105</v>
      </c>
      <c r="AA72" s="90"/>
      <c r="AB72" s="90"/>
      <c r="AC72" s="97" t="s">
        <v>999</v>
      </c>
      <c r="AD72" s="97" t="s">
        <v>1234</v>
      </c>
      <c r="AE72" s="90" t="b">
        <v>0</v>
      </c>
      <c r="AF72" s="90">
        <v>1</v>
      </c>
      <c r="AG72" s="97" t="s">
        <v>1353</v>
      </c>
      <c r="AH72" s="90" t="b">
        <v>1</v>
      </c>
      <c r="AI72" s="90" t="s">
        <v>1442</v>
      </c>
      <c r="AJ72" s="90"/>
      <c r="AK72" s="97" t="s">
        <v>1446</v>
      </c>
      <c r="AL72" s="90" t="b">
        <v>0</v>
      </c>
      <c r="AM72" s="90">
        <v>0</v>
      </c>
      <c r="AN72" s="97" t="s">
        <v>1338</v>
      </c>
      <c r="AO72" s="97" t="s">
        <v>1452</v>
      </c>
      <c r="AP72" s="90" t="b">
        <v>0</v>
      </c>
      <c r="AQ72" s="97" t="s">
        <v>1234</v>
      </c>
      <c r="AR72" s="90" t="s">
        <v>187</v>
      </c>
      <c r="AS72" s="90">
        <v>0</v>
      </c>
      <c r="AT72" s="90">
        <v>0</v>
      </c>
      <c r="AU72" s="90"/>
      <c r="AV72" s="90"/>
      <c r="AW72" s="90"/>
      <c r="AX72" s="90"/>
      <c r="AY72" s="90"/>
      <c r="AZ72" s="90"/>
      <c r="BA72" s="90"/>
      <c r="BB72" s="90"/>
      <c r="BC72">
        <v>1</v>
      </c>
      <c r="BD72" s="89" t="str">
        <f>REPLACE(INDEX(GroupVertices[Group],MATCH(Edges[[#This Row],[Vertex 1]],GroupVertices[Vertex],0)),1,1,"")</f>
        <v>12</v>
      </c>
      <c r="BE72" s="89" t="str">
        <f>REPLACE(INDEX(GroupVertices[Group],MATCH(Edges[[#This Row],[Vertex 2]],GroupVertices[Vertex],0)),1,1,"")</f>
        <v>12</v>
      </c>
      <c r="BF72" s="49">
        <v>0</v>
      </c>
      <c r="BG72" s="50">
        <v>0</v>
      </c>
      <c r="BH72" s="49">
        <v>0</v>
      </c>
      <c r="BI72" s="50">
        <v>0</v>
      </c>
      <c r="BJ72" s="49">
        <v>0</v>
      </c>
      <c r="BK72" s="50">
        <v>0</v>
      </c>
      <c r="BL72" s="49">
        <v>18</v>
      </c>
      <c r="BM72" s="50">
        <v>100</v>
      </c>
      <c r="BN72" s="49">
        <v>18</v>
      </c>
    </row>
    <row r="73" spans="1:66" ht="15">
      <c r="A73" s="65" t="s">
        <v>251</v>
      </c>
      <c r="B73" s="65" t="s">
        <v>400</v>
      </c>
      <c r="C73" s="66" t="s">
        <v>5817</v>
      </c>
      <c r="D73" s="67">
        <v>1</v>
      </c>
      <c r="E73" s="68" t="s">
        <v>132</v>
      </c>
      <c r="F73" s="69">
        <v>32</v>
      </c>
      <c r="G73" s="66" t="s">
        <v>51</v>
      </c>
      <c r="H73" s="70"/>
      <c r="I73" s="71"/>
      <c r="J73" s="71"/>
      <c r="K73" s="35" t="s">
        <v>65</v>
      </c>
      <c r="L73" s="79">
        <v>73</v>
      </c>
      <c r="M73" s="79"/>
      <c r="N73" s="73"/>
      <c r="O73" s="90" t="s">
        <v>523</v>
      </c>
      <c r="P73" s="93">
        <v>44527.74521990741</v>
      </c>
      <c r="Q73" s="90" t="s">
        <v>549</v>
      </c>
      <c r="R73" s="90"/>
      <c r="S73" s="90"/>
      <c r="T73" s="90"/>
      <c r="U73" s="90"/>
      <c r="V73" s="96" t="str">
        <f>HYPERLINK("https://pbs.twimg.com/profile_images/1459825419553755137/q2X1QUsp_normal.jpg")</f>
        <v>https://pbs.twimg.com/profile_images/1459825419553755137/q2X1QUsp_normal.jpg</v>
      </c>
      <c r="W73" s="93">
        <v>44527.74521990741</v>
      </c>
      <c r="X73" s="100">
        <v>44527</v>
      </c>
      <c r="Y73" s="97" t="s">
        <v>748</v>
      </c>
      <c r="Z73" s="96" t="str">
        <f>HYPERLINK("https://twitter.com/teemual/status/1464653525468827650")</f>
        <v>https://twitter.com/teemual/status/1464653525468827650</v>
      </c>
      <c r="AA73" s="90"/>
      <c r="AB73" s="90"/>
      <c r="AC73" s="97" t="s">
        <v>1000</v>
      </c>
      <c r="AD73" s="97" t="s">
        <v>1234</v>
      </c>
      <c r="AE73" s="90" t="b">
        <v>0</v>
      </c>
      <c r="AF73" s="90">
        <v>4</v>
      </c>
      <c r="AG73" s="97" t="s">
        <v>1353</v>
      </c>
      <c r="AH73" s="90" t="b">
        <v>0</v>
      </c>
      <c r="AI73" s="90" t="s">
        <v>1442</v>
      </c>
      <c r="AJ73" s="90"/>
      <c r="AK73" s="97" t="s">
        <v>1338</v>
      </c>
      <c r="AL73" s="90" t="b">
        <v>0</v>
      </c>
      <c r="AM73" s="90">
        <v>0</v>
      </c>
      <c r="AN73" s="97" t="s">
        <v>1338</v>
      </c>
      <c r="AO73" s="97" t="s">
        <v>1453</v>
      </c>
      <c r="AP73" s="90" t="b">
        <v>0</v>
      </c>
      <c r="AQ73" s="97" t="s">
        <v>1234</v>
      </c>
      <c r="AR73" s="90" t="s">
        <v>187</v>
      </c>
      <c r="AS73" s="90">
        <v>0</v>
      </c>
      <c r="AT73" s="90">
        <v>0</v>
      </c>
      <c r="AU73" s="90"/>
      <c r="AV73" s="90"/>
      <c r="AW73" s="90"/>
      <c r="AX73" s="90"/>
      <c r="AY73" s="90"/>
      <c r="AZ73" s="90"/>
      <c r="BA73" s="90"/>
      <c r="BB73" s="90"/>
      <c r="BC73">
        <v>1</v>
      </c>
      <c r="BD73" s="89" t="str">
        <f>REPLACE(INDEX(GroupVertices[Group],MATCH(Edges[[#This Row],[Vertex 1]],GroupVertices[Vertex],0)),1,1,"")</f>
        <v>12</v>
      </c>
      <c r="BE73" s="89" t="str">
        <f>REPLACE(INDEX(GroupVertices[Group],MATCH(Edges[[#This Row],[Vertex 2]],GroupVertices[Vertex],0)),1,1,"")</f>
        <v>12</v>
      </c>
      <c r="BF73" s="49">
        <v>0</v>
      </c>
      <c r="BG73" s="50">
        <v>0</v>
      </c>
      <c r="BH73" s="49">
        <v>0</v>
      </c>
      <c r="BI73" s="50">
        <v>0</v>
      </c>
      <c r="BJ73" s="49">
        <v>0</v>
      </c>
      <c r="BK73" s="50">
        <v>0</v>
      </c>
      <c r="BL73" s="49">
        <v>14</v>
      </c>
      <c r="BM73" s="50">
        <v>100</v>
      </c>
      <c r="BN73" s="49">
        <v>14</v>
      </c>
    </row>
    <row r="74" spans="1:66" ht="15">
      <c r="A74" s="65" t="s">
        <v>252</v>
      </c>
      <c r="B74" s="65" t="s">
        <v>401</v>
      </c>
      <c r="C74" s="66" t="s">
        <v>5817</v>
      </c>
      <c r="D74" s="67">
        <v>1</v>
      </c>
      <c r="E74" s="68" t="s">
        <v>132</v>
      </c>
      <c r="F74" s="69">
        <v>32</v>
      </c>
      <c r="G74" s="66" t="s">
        <v>51</v>
      </c>
      <c r="H74" s="70"/>
      <c r="I74" s="71"/>
      <c r="J74" s="71"/>
      <c r="K74" s="35" t="s">
        <v>65</v>
      </c>
      <c r="L74" s="79">
        <v>74</v>
      </c>
      <c r="M74" s="79"/>
      <c r="N74" s="73"/>
      <c r="O74" s="90" t="s">
        <v>523</v>
      </c>
      <c r="P74" s="93">
        <v>44527.78653935185</v>
      </c>
      <c r="Q74" s="90" t="s">
        <v>550</v>
      </c>
      <c r="R74" s="90"/>
      <c r="S74" s="90"/>
      <c r="T74" s="90"/>
      <c r="U74" s="90"/>
      <c r="V74" s="96" t="str">
        <f>HYPERLINK("https://pbs.twimg.com/profile_images/1349047451982962690/3FU5qqUf_normal.jpg")</f>
        <v>https://pbs.twimg.com/profile_images/1349047451982962690/3FU5qqUf_normal.jpg</v>
      </c>
      <c r="W74" s="93">
        <v>44527.78653935185</v>
      </c>
      <c r="X74" s="100">
        <v>44527</v>
      </c>
      <c r="Y74" s="97" t="s">
        <v>749</v>
      </c>
      <c r="Z74" s="96" t="str">
        <f>HYPERLINK("https://twitter.com/petri_pellinen/status/1464668500815925256")</f>
        <v>https://twitter.com/petri_pellinen/status/1464668500815925256</v>
      </c>
      <c r="AA74" s="90"/>
      <c r="AB74" s="90"/>
      <c r="AC74" s="97" t="s">
        <v>1001</v>
      </c>
      <c r="AD74" s="97" t="s">
        <v>1235</v>
      </c>
      <c r="AE74" s="90" t="b">
        <v>0</v>
      </c>
      <c r="AF74" s="90">
        <v>1</v>
      </c>
      <c r="AG74" s="97" t="s">
        <v>1354</v>
      </c>
      <c r="AH74" s="90" t="b">
        <v>0</v>
      </c>
      <c r="AI74" s="90" t="s">
        <v>1442</v>
      </c>
      <c r="AJ74" s="90"/>
      <c r="AK74" s="97" t="s">
        <v>1338</v>
      </c>
      <c r="AL74" s="90" t="b">
        <v>0</v>
      </c>
      <c r="AM74" s="90">
        <v>0</v>
      </c>
      <c r="AN74" s="97" t="s">
        <v>1338</v>
      </c>
      <c r="AO74" s="97" t="s">
        <v>1450</v>
      </c>
      <c r="AP74" s="90" t="b">
        <v>0</v>
      </c>
      <c r="AQ74" s="97" t="s">
        <v>1235</v>
      </c>
      <c r="AR74" s="90" t="s">
        <v>187</v>
      </c>
      <c r="AS74" s="90">
        <v>0</v>
      </c>
      <c r="AT74" s="90">
        <v>0</v>
      </c>
      <c r="AU74" s="90"/>
      <c r="AV74" s="90"/>
      <c r="AW74" s="90"/>
      <c r="AX74" s="90"/>
      <c r="AY74" s="90"/>
      <c r="AZ74" s="90"/>
      <c r="BA74" s="90"/>
      <c r="BB74" s="90"/>
      <c r="BC74">
        <v>1</v>
      </c>
      <c r="BD74" s="89" t="str">
        <f>REPLACE(INDEX(GroupVertices[Group],MATCH(Edges[[#This Row],[Vertex 1]],GroupVertices[Vertex],0)),1,1,"")</f>
        <v>26</v>
      </c>
      <c r="BE74" s="89" t="str">
        <f>REPLACE(INDEX(GroupVertices[Group],MATCH(Edges[[#This Row],[Vertex 2]],GroupVertices[Vertex],0)),1,1,"")</f>
        <v>26</v>
      </c>
      <c r="BF74" s="49">
        <v>0</v>
      </c>
      <c r="BG74" s="50">
        <v>0</v>
      </c>
      <c r="BH74" s="49">
        <v>0</v>
      </c>
      <c r="BI74" s="50">
        <v>0</v>
      </c>
      <c r="BJ74" s="49">
        <v>0</v>
      </c>
      <c r="BK74" s="50">
        <v>0</v>
      </c>
      <c r="BL74" s="49">
        <v>28</v>
      </c>
      <c r="BM74" s="50">
        <v>100</v>
      </c>
      <c r="BN74" s="49">
        <v>28</v>
      </c>
    </row>
    <row r="75" spans="1:66" ht="15">
      <c r="A75" s="65" t="s">
        <v>253</v>
      </c>
      <c r="B75" s="65" t="s">
        <v>400</v>
      </c>
      <c r="C75" s="66" t="s">
        <v>5817</v>
      </c>
      <c r="D75" s="67">
        <v>1</v>
      </c>
      <c r="E75" s="68" t="s">
        <v>132</v>
      </c>
      <c r="F75" s="69">
        <v>32</v>
      </c>
      <c r="G75" s="66" t="s">
        <v>51</v>
      </c>
      <c r="H75" s="70"/>
      <c r="I75" s="71"/>
      <c r="J75" s="71"/>
      <c r="K75" s="35" t="s">
        <v>65</v>
      </c>
      <c r="L75" s="79">
        <v>75</v>
      </c>
      <c r="M75" s="79"/>
      <c r="N75" s="73"/>
      <c r="O75" s="90" t="s">
        <v>523</v>
      </c>
      <c r="P75" s="93">
        <v>44527.9171875</v>
      </c>
      <c r="Q75" s="90" t="s">
        <v>551</v>
      </c>
      <c r="R75" s="90"/>
      <c r="S75" s="90"/>
      <c r="T75" s="90"/>
      <c r="U75" s="90"/>
      <c r="V75" s="96" t="str">
        <f>HYPERLINK("https://pbs.twimg.com/profile_images/1309132938022465536/vxOnnwwC_normal.jpg")</f>
        <v>https://pbs.twimg.com/profile_images/1309132938022465536/vxOnnwwC_normal.jpg</v>
      </c>
      <c r="W75" s="93">
        <v>44527.9171875</v>
      </c>
      <c r="X75" s="100">
        <v>44527</v>
      </c>
      <c r="Y75" s="97" t="s">
        <v>750</v>
      </c>
      <c r="Z75" s="96" t="str">
        <f>HYPERLINK("https://twitter.com/ambyr00/status/1464715844886446080")</f>
        <v>https://twitter.com/ambyr00/status/1464715844886446080</v>
      </c>
      <c r="AA75" s="90"/>
      <c r="AB75" s="90"/>
      <c r="AC75" s="97" t="s">
        <v>1002</v>
      </c>
      <c r="AD75" s="97" t="s">
        <v>1234</v>
      </c>
      <c r="AE75" s="90" t="b">
        <v>0</v>
      </c>
      <c r="AF75" s="90">
        <v>0</v>
      </c>
      <c r="AG75" s="97" t="s">
        <v>1353</v>
      </c>
      <c r="AH75" s="90" t="b">
        <v>0</v>
      </c>
      <c r="AI75" s="90" t="s">
        <v>1442</v>
      </c>
      <c r="AJ75" s="90"/>
      <c r="AK75" s="97" t="s">
        <v>1338</v>
      </c>
      <c r="AL75" s="90" t="b">
        <v>0</v>
      </c>
      <c r="AM75" s="90">
        <v>0</v>
      </c>
      <c r="AN75" s="97" t="s">
        <v>1338</v>
      </c>
      <c r="AO75" s="97" t="s">
        <v>1450</v>
      </c>
      <c r="AP75" s="90" t="b">
        <v>0</v>
      </c>
      <c r="AQ75" s="97" t="s">
        <v>1234</v>
      </c>
      <c r="AR75" s="90" t="s">
        <v>187</v>
      </c>
      <c r="AS75" s="90">
        <v>0</v>
      </c>
      <c r="AT75" s="90">
        <v>0</v>
      </c>
      <c r="AU75" s="90"/>
      <c r="AV75" s="90"/>
      <c r="AW75" s="90"/>
      <c r="AX75" s="90"/>
      <c r="AY75" s="90"/>
      <c r="AZ75" s="90"/>
      <c r="BA75" s="90"/>
      <c r="BB75" s="90"/>
      <c r="BC75">
        <v>1</v>
      </c>
      <c r="BD75" s="89" t="str">
        <f>REPLACE(INDEX(GroupVertices[Group],MATCH(Edges[[#This Row],[Vertex 1]],GroupVertices[Vertex],0)),1,1,"")</f>
        <v>12</v>
      </c>
      <c r="BE75" s="89" t="str">
        <f>REPLACE(INDEX(GroupVertices[Group],MATCH(Edges[[#This Row],[Vertex 2]],GroupVertices[Vertex],0)),1,1,"")</f>
        <v>12</v>
      </c>
      <c r="BF75" s="49">
        <v>0</v>
      </c>
      <c r="BG75" s="50">
        <v>0</v>
      </c>
      <c r="BH75" s="49">
        <v>0</v>
      </c>
      <c r="BI75" s="50">
        <v>0</v>
      </c>
      <c r="BJ75" s="49">
        <v>0</v>
      </c>
      <c r="BK75" s="50">
        <v>0</v>
      </c>
      <c r="BL75" s="49">
        <v>35</v>
      </c>
      <c r="BM75" s="50">
        <v>100</v>
      </c>
      <c r="BN75" s="49">
        <v>35</v>
      </c>
    </row>
    <row r="76" spans="1:66" ht="15">
      <c r="A76" s="65" t="s">
        <v>254</v>
      </c>
      <c r="B76" s="65" t="s">
        <v>402</v>
      </c>
      <c r="C76" s="66" t="s">
        <v>5817</v>
      </c>
      <c r="D76" s="67">
        <v>1</v>
      </c>
      <c r="E76" s="68" t="s">
        <v>132</v>
      </c>
      <c r="F76" s="69">
        <v>32</v>
      </c>
      <c r="G76" s="66" t="s">
        <v>51</v>
      </c>
      <c r="H76" s="70"/>
      <c r="I76" s="71"/>
      <c r="J76" s="71"/>
      <c r="K76" s="35" t="s">
        <v>65</v>
      </c>
      <c r="L76" s="79">
        <v>76</v>
      </c>
      <c r="M76" s="79"/>
      <c r="N76" s="73"/>
      <c r="O76" s="90" t="s">
        <v>524</v>
      </c>
      <c r="P76" s="93">
        <v>44528.23961805556</v>
      </c>
      <c r="Q76" s="90" t="s">
        <v>552</v>
      </c>
      <c r="R76" s="90"/>
      <c r="S76" s="90"/>
      <c r="T76" s="90"/>
      <c r="U76" s="90"/>
      <c r="V76" s="96" t="str">
        <f>HYPERLINK("https://pbs.twimg.com/profile_images/1450300839051120640/PT4ggYXY_normal.jpg")</f>
        <v>https://pbs.twimg.com/profile_images/1450300839051120640/PT4ggYXY_normal.jpg</v>
      </c>
      <c r="W76" s="93">
        <v>44528.23961805556</v>
      </c>
      <c r="X76" s="100">
        <v>44528</v>
      </c>
      <c r="Y76" s="97" t="s">
        <v>751</v>
      </c>
      <c r="Z76" s="96" t="str">
        <f>HYPERLINK("https://twitter.com/vihameemipolice/status/1464832692017676291")</f>
        <v>https://twitter.com/vihameemipolice/status/1464832692017676291</v>
      </c>
      <c r="AA76" s="90"/>
      <c r="AB76" s="90"/>
      <c r="AC76" s="97" t="s">
        <v>1003</v>
      </c>
      <c r="AD76" s="97" t="s">
        <v>1236</v>
      </c>
      <c r="AE76" s="90" t="b">
        <v>0</v>
      </c>
      <c r="AF76" s="90">
        <v>0</v>
      </c>
      <c r="AG76" s="97" t="s">
        <v>1355</v>
      </c>
      <c r="AH76" s="90" t="b">
        <v>0</v>
      </c>
      <c r="AI76" s="90" t="s">
        <v>1442</v>
      </c>
      <c r="AJ76" s="90"/>
      <c r="AK76" s="97" t="s">
        <v>1338</v>
      </c>
      <c r="AL76" s="90" t="b">
        <v>0</v>
      </c>
      <c r="AM76" s="90">
        <v>0</v>
      </c>
      <c r="AN76" s="97" t="s">
        <v>1338</v>
      </c>
      <c r="AO76" s="97" t="s">
        <v>1452</v>
      </c>
      <c r="AP76" s="90" t="b">
        <v>0</v>
      </c>
      <c r="AQ76" s="97" t="s">
        <v>1236</v>
      </c>
      <c r="AR76" s="90" t="s">
        <v>187</v>
      </c>
      <c r="AS76" s="90">
        <v>0</v>
      </c>
      <c r="AT76" s="90">
        <v>0</v>
      </c>
      <c r="AU76" s="90"/>
      <c r="AV76" s="90"/>
      <c r="AW76" s="90"/>
      <c r="AX76" s="90"/>
      <c r="AY76" s="90"/>
      <c r="AZ76" s="90"/>
      <c r="BA76" s="90"/>
      <c r="BB76" s="90"/>
      <c r="BC76">
        <v>1</v>
      </c>
      <c r="BD76" s="89" t="str">
        <f>REPLACE(INDEX(GroupVertices[Group],MATCH(Edges[[#This Row],[Vertex 1]],GroupVertices[Vertex],0)),1,1,"")</f>
        <v>1</v>
      </c>
      <c r="BE76" s="89" t="str">
        <f>REPLACE(INDEX(GroupVertices[Group],MATCH(Edges[[#This Row],[Vertex 2]],GroupVertices[Vertex],0)),1,1,"")</f>
        <v>1</v>
      </c>
      <c r="BF76" s="49"/>
      <c r="BG76" s="50"/>
      <c r="BH76" s="49"/>
      <c r="BI76" s="50"/>
      <c r="BJ76" s="49"/>
      <c r="BK76" s="50"/>
      <c r="BL76" s="49"/>
      <c r="BM76" s="50"/>
      <c r="BN76" s="49"/>
    </row>
    <row r="77" spans="1:66" ht="15">
      <c r="A77" s="65" t="s">
        <v>254</v>
      </c>
      <c r="B77" s="65" t="s">
        <v>374</v>
      </c>
      <c r="C77" s="66" t="s">
        <v>5817</v>
      </c>
      <c r="D77" s="67">
        <v>1</v>
      </c>
      <c r="E77" s="68" t="s">
        <v>132</v>
      </c>
      <c r="F77" s="69">
        <v>32</v>
      </c>
      <c r="G77" s="66" t="s">
        <v>51</v>
      </c>
      <c r="H77" s="70"/>
      <c r="I77" s="71"/>
      <c r="J77" s="71"/>
      <c r="K77" s="35" t="s">
        <v>65</v>
      </c>
      <c r="L77" s="79">
        <v>77</v>
      </c>
      <c r="M77" s="79"/>
      <c r="N77" s="73"/>
      <c r="O77" s="90" t="s">
        <v>524</v>
      </c>
      <c r="P77" s="93">
        <v>44528.23961805556</v>
      </c>
      <c r="Q77" s="90" t="s">
        <v>552</v>
      </c>
      <c r="R77" s="90"/>
      <c r="S77" s="90"/>
      <c r="T77" s="90"/>
      <c r="U77" s="90"/>
      <c r="V77" s="96" t="str">
        <f>HYPERLINK("https://pbs.twimg.com/profile_images/1450300839051120640/PT4ggYXY_normal.jpg")</f>
        <v>https://pbs.twimg.com/profile_images/1450300839051120640/PT4ggYXY_normal.jpg</v>
      </c>
      <c r="W77" s="93">
        <v>44528.23961805556</v>
      </c>
      <c r="X77" s="100">
        <v>44528</v>
      </c>
      <c r="Y77" s="97" t="s">
        <v>751</v>
      </c>
      <c r="Z77" s="96" t="str">
        <f>HYPERLINK("https://twitter.com/vihameemipolice/status/1464832692017676291")</f>
        <v>https://twitter.com/vihameemipolice/status/1464832692017676291</v>
      </c>
      <c r="AA77" s="90"/>
      <c r="AB77" s="90"/>
      <c r="AC77" s="97" t="s">
        <v>1003</v>
      </c>
      <c r="AD77" s="97" t="s">
        <v>1236</v>
      </c>
      <c r="AE77" s="90" t="b">
        <v>0</v>
      </c>
      <c r="AF77" s="90">
        <v>0</v>
      </c>
      <c r="AG77" s="97" t="s">
        <v>1355</v>
      </c>
      <c r="AH77" s="90" t="b">
        <v>0</v>
      </c>
      <c r="AI77" s="90" t="s">
        <v>1442</v>
      </c>
      <c r="AJ77" s="90"/>
      <c r="AK77" s="97" t="s">
        <v>1338</v>
      </c>
      <c r="AL77" s="90" t="b">
        <v>0</v>
      </c>
      <c r="AM77" s="90">
        <v>0</v>
      </c>
      <c r="AN77" s="97" t="s">
        <v>1338</v>
      </c>
      <c r="AO77" s="97" t="s">
        <v>1452</v>
      </c>
      <c r="AP77" s="90" t="b">
        <v>0</v>
      </c>
      <c r="AQ77" s="97" t="s">
        <v>1236</v>
      </c>
      <c r="AR77" s="90" t="s">
        <v>187</v>
      </c>
      <c r="AS77" s="90">
        <v>0</v>
      </c>
      <c r="AT77" s="90">
        <v>0</v>
      </c>
      <c r="AU77" s="90"/>
      <c r="AV77" s="90"/>
      <c r="AW77" s="90"/>
      <c r="AX77" s="90"/>
      <c r="AY77" s="90"/>
      <c r="AZ77" s="90"/>
      <c r="BA77" s="90"/>
      <c r="BB77" s="90"/>
      <c r="BC77">
        <v>1</v>
      </c>
      <c r="BD77" s="89" t="str">
        <f>REPLACE(INDEX(GroupVertices[Group],MATCH(Edges[[#This Row],[Vertex 1]],GroupVertices[Vertex],0)),1,1,"")</f>
        <v>1</v>
      </c>
      <c r="BE77" s="89" t="str">
        <f>REPLACE(INDEX(GroupVertices[Group],MATCH(Edges[[#This Row],[Vertex 2]],GroupVertices[Vertex],0)),1,1,"")</f>
        <v>1</v>
      </c>
      <c r="BF77" s="49"/>
      <c r="BG77" s="50"/>
      <c r="BH77" s="49"/>
      <c r="BI77" s="50"/>
      <c r="BJ77" s="49"/>
      <c r="BK77" s="50"/>
      <c r="BL77" s="49"/>
      <c r="BM77" s="50"/>
      <c r="BN77" s="49"/>
    </row>
    <row r="78" spans="1:66" ht="15">
      <c r="A78" s="65" t="s">
        <v>254</v>
      </c>
      <c r="B78" s="65" t="s">
        <v>301</v>
      </c>
      <c r="C78" s="66" t="s">
        <v>5817</v>
      </c>
      <c r="D78" s="67">
        <v>1</v>
      </c>
      <c r="E78" s="68" t="s">
        <v>132</v>
      </c>
      <c r="F78" s="69">
        <v>32</v>
      </c>
      <c r="G78" s="66" t="s">
        <v>51</v>
      </c>
      <c r="H78" s="70"/>
      <c r="I78" s="71"/>
      <c r="J78" s="71"/>
      <c r="K78" s="35" t="s">
        <v>65</v>
      </c>
      <c r="L78" s="79">
        <v>78</v>
      </c>
      <c r="M78" s="79"/>
      <c r="N78" s="73"/>
      <c r="O78" s="90" t="s">
        <v>523</v>
      </c>
      <c r="P78" s="93">
        <v>44528.23961805556</v>
      </c>
      <c r="Q78" s="90" t="s">
        <v>552</v>
      </c>
      <c r="R78" s="90"/>
      <c r="S78" s="90"/>
      <c r="T78" s="90"/>
      <c r="U78" s="90"/>
      <c r="V78" s="96" t="str">
        <f>HYPERLINK("https://pbs.twimg.com/profile_images/1450300839051120640/PT4ggYXY_normal.jpg")</f>
        <v>https://pbs.twimg.com/profile_images/1450300839051120640/PT4ggYXY_normal.jpg</v>
      </c>
      <c r="W78" s="93">
        <v>44528.23961805556</v>
      </c>
      <c r="X78" s="100">
        <v>44528</v>
      </c>
      <c r="Y78" s="97" t="s">
        <v>751</v>
      </c>
      <c r="Z78" s="96" t="str">
        <f>HYPERLINK("https://twitter.com/vihameemipolice/status/1464832692017676291")</f>
        <v>https://twitter.com/vihameemipolice/status/1464832692017676291</v>
      </c>
      <c r="AA78" s="90"/>
      <c r="AB78" s="90"/>
      <c r="AC78" s="97" t="s">
        <v>1003</v>
      </c>
      <c r="AD78" s="97" t="s">
        <v>1236</v>
      </c>
      <c r="AE78" s="90" t="b">
        <v>0</v>
      </c>
      <c r="AF78" s="90">
        <v>0</v>
      </c>
      <c r="AG78" s="97" t="s">
        <v>1355</v>
      </c>
      <c r="AH78" s="90" t="b">
        <v>0</v>
      </c>
      <c r="AI78" s="90" t="s">
        <v>1442</v>
      </c>
      <c r="AJ78" s="90"/>
      <c r="AK78" s="97" t="s">
        <v>1338</v>
      </c>
      <c r="AL78" s="90" t="b">
        <v>0</v>
      </c>
      <c r="AM78" s="90">
        <v>0</v>
      </c>
      <c r="AN78" s="97" t="s">
        <v>1338</v>
      </c>
      <c r="AO78" s="97" t="s">
        <v>1452</v>
      </c>
      <c r="AP78" s="90" t="b">
        <v>0</v>
      </c>
      <c r="AQ78" s="97" t="s">
        <v>1236</v>
      </c>
      <c r="AR78" s="90" t="s">
        <v>187</v>
      </c>
      <c r="AS78" s="90">
        <v>0</v>
      </c>
      <c r="AT78" s="90">
        <v>0</v>
      </c>
      <c r="AU78" s="90"/>
      <c r="AV78" s="90"/>
      <c r="AW78" s="90"/>
      <c r="AX78" s="90"/>
      <c r="AY78" s="90"/>
      <c r="AZ78" s="90"/>
      <c r="BA78" s="90"/>
      <c r="BB78" s="90"/>
      <c r="BC78">
        <v>1</v>
      </c>
      <c r="BD78" s="89" t="str">
        <f>REPLACE(INDEX(GroupVertices[Group],MATCH(Edges[[#This Row],[Vertex 1]],GroupVertices[Vertex],0)),1,1,"")</f>
        <v>1</v>
      </c>
      <c r="BE78" s="89" t="str">
        <f>REPLACE(INDEX(GroupVertices[Group],MATCH(Edges[[#This Row],[Vertex 2]],GroupVertices[Vertex],0)),1,1,"")</f>
        <v>1</v>
      </c>
      <c r="BF78" s="49">
        <v>0</v>
      </c>
      <c r="BG78" s="50">
        <v>0</v>
      </c>
      <c r="BH78" s="49">
        <v>0</v>
      </c>
      <c r="BI78" s="50">
        <v>0</v>
      </c>
      <c r="BJ78" s="49">
        <v>0</v>
      </c>
      <c r="BK78" s="50">
        <v>0</v>
      </c>
      <c r="BL78" s="49">
        <v>28</v>
      </c>
      <c r="BM78" s="50">
        <v>100</v>
      </c>
      <c r="BN78" s="49">
        <v>28</v>
      </c>
    </row>
    <row r="79" spans="1:66" ht="15">
      <c r="A79" s="65" t="s">
        <v>255</v>
      </c>
      <c r="B79" s="65" t="s">
        <v>403</v>
      </c>
      <c r="C79" s="66" t="s">
        <v>5817</v>
      </c>
      <c r="D79" s="67">
        <v>1</v>
      </c>
      <c r="E79" s="68" t="s">
        <v>132</v>
      </c>
      <c r="F79" s="69">
        <v>32</v>
      </c>
      <c r="G79" s="66" t="s">
        <v>51</v>
      </c>
      <c r="H79" s="70"/>
      <c r="I79" s="71"/>
      <c r="J79" s="71"/>
      <c r="K79" s="35" t="s">
        <v>65</v>
      </c>
      <c r="L79" s="79">
        <v>79</v>
      </c>
      <c r="M79" s="79"/>
      <c r="N79" s="73"/>
      <c r="O79" s="90" t="s">
        <v>523</v>
      </c>
      <c r="P79" s="93">
        <v>44528.434745370374</v>
      </c>
      <c r="Q79" s="90" t="s">
        <v>553</v>
      </c>
      <c r="R79" s="90"/>
      <c r="S79" s="90"/>
      <c r="T79" s="90"/>
      <c r="U79" s="90"/>
      <c r="V79" s="96" t="str">
        <f>HYPERLINK("https://abs.twimg.com/sticky/default_profile_images/default_profile_normal.png")</f>
        <v>https://abs.twimg.com/sticky/default_profile_images/default_profile_normal.png</v>
      </c>
      <c r="W79" s="93">
        <v>44528.434745370374</v>
      </c>
      <c r="X79" s="100">
        <v>44528</v>
      </c>
      <c r="Y79" s="97" t="s">
        <v>752</v>
      </c>
      <c r="Z79" s="96" t="str">
        <f>HYPERLINK("https://twitter.com/porkka_pekka/status/1464903403935604738")</f>
        <v>https://twitter.com/porkka_pekka/status/1464903403935604738</v>
      </c>
      <c r="AA79" s="90"/>
      <c r="AB79" s="90"/>
      <c r="AC79" s="97" t="s">
        <v>1004</v>
      </c>
      <c r="AD79" s="97" t="s">
        <v>1237</v>
      </c>
      <c r="AE79" s="90" t="b">
        <v>0</v>
      </c>
      <c r="AF79" s="90">
        <v>0</v>
      </c>
      <c r="AG79" s="97" t="s">
        <v>1356</v>
      </c>
      <c r="AH79" s="90" t="b">
        <v>0</v>
      </c>
      <c r="AI79" s="90" t="s">
        <v>1442</v>
      </c>
      <c r="AJ79" s="90"/>
      <c r="AK79" s="97" t="s">
        <v>1338</v>
      </c>
      <c r="AL79" s="90" t="b">
        <v>0</v>
      </c>
      <c r="AM79" s="90">
        <v>0</v>
      </c>
      <c r="AN79" s="97" t="s">
        <v>1338</v>
      </c>
      <c r="AO79" s="97" t="s">
        <v>1452</v>
      </c>
      <c r="AP79" s="90" t="b">
        <v>0</v>
      </c>
      <c r="AQ79" s="97" t="s">
        <v>1237</v>
      </c>
      <c r="AR79" s="90" t="s">
        <v>187</v>
      </c>
      <c r="AS79" s="90">
        <v>0</v>
      </c>
      <c r="AT79" s="90">
        <v>0</v>
      </c>
      <c r="AU79" s="90"/>
      <c r="AV79" s="90"/>
      <c r="AW79" s="90"/>
      <c r="AX79" s="90"/>
      <c r="AY79" s="90"/>
      <c r="AZ79" s="90"/>
      <c r="BA79" s="90"/>
      <c r="BB79" s="90"/>
      <c r="BC79">
        <v>1</v>
      </c>
      <c r="BD79" s="89" t="str">
        <f>REPLACE(INDEX(GroupVertices[Group],MATCH(Edges[[#This Row],[Vertex 1]],GroupVertices[Vertex],0)),1,1,"")</f>
        <v>6</v>
      </c>
      <c r="BE79" s="89" t="str">
        <f>REPLACE(INDEX(GroupVertices[Group],MATCH(Edges[[#This Row],[Vertex 2]],GroupVertices[Vertex],0)),1,1,"")</f>
        <v>6</v>
      </c>
      <c r="BF79" s="49">
        <v>0</v>
      </c>
      <c r="BG79" s="50">
        <v>0</v>
      </c>
      <c r="BH79" s="49">
        <v>0</v>
      </c>
      <c r="BI79" s="50">
        <v>0</v>
      </c>
      <c r="BJ79" s="49">
        <v>0</v>
      </c>
      <c r="BK79" s="50">
        <v>0</v>
      </c>
      <c r="BL79" s="49">
        <v>14</v>
      </c>
      <c r="BM79" s="50">
        <v>100</v>
      </c>
      <c r="BN79" s="49">
        <v>14</v>
      </c>
    </row>
    <row r="80" spans="1:66" ht="15">
      <c r="A80" s="65" t="s">
        <v>255</v>
      </c>
      <c r="B80" s="65" t="s">
        <v>385</v>
      </c>
      <c r="C80" s="66" t="s">
        <v>5817</v>
      </c>
      <c r="D80" s="67">
        <v>1</v>
      </c>
      <c r="E80" s="68" t="s">
        <v>132</v>
      </c>
      <c r="F80" s="69">
        <v>32</v>
      </c>
      <c r="G80" s="66" t="s">
        <v>51</v>
      </c>
      <c r="H80" s="70"/>
      <c r="I80" s="71"/>
      <c r="J80" s="71"/>
      <c r="K80" s="35" t="s">
        <v>65</v>
      </c>
      <c r="L80" s="79">
        <v>80</v>
      </c>
      <c r="M80" s="79"/>
      <c r="N80" s="73"/>
      <c r="O80" s="90" t="s">
        <v>524</v>
      </c>
      <c r="P80" s="93">
        <v>44528.434745370374</v>
      </c>
      <c r="Q80" s="90" t="s">
        <v>553</v>
      </c>
      <c r="R80" s="90"/>
      <c r="S80" s="90"/>
      <c r="T80" s="90"/>
      <c r="U80" s="90"/>
      <c r="V80" s="96" t="str">
        <f>HYPERLINK("https://abs.twimg.com/sticky/default_profile_images/default_profile_normal.png")</f>
        <v>https://abs.twimg.com/sticky/default_profile_images/default_profile_normal.png</v>
      </c>
      <c r="W80" s="93">
        <v>44528.434745370374</v>
      </c>
      <c r="X80" s="100">
        <v>44528</v>
      </c>
      <c r="Y80" s="97" t="s">
        <v>752</v>
      </c>
      <c r="Z80" s="96" t="str">
        <f>HYPERLINK("https://twitter.com/porkka_pekka/status/1464903403935604738")</f>
        <v>https://twitter.com/porkka_pekka/status/1464903403935604738</v>
      </c>
      <c r="AA80" s="90"/>
      <c r="AB80" s="90"/>
      <c r="AC80" s="97" t="s">
        <v>1004</v>
      </c>
      <c r="AD80" s="97" t="s">
        <v>1237</v>
      </c>
      <c r="AE80" s="90" t="b">
        <v>0</v>
      </c>
      <c r="AF80" s="90">
        <v>0</v>
      </c>
      <c r="AG80" s="97" t="s">
        <v>1356</v>
      </c>
      <c r="AH80" s="90" t="b">
        <v>0</v>
      </c>
      <c r="AI80" s="90" t="s">
        <v>1442</v>
      </c>
      <c r="AJ80" s="90"/>
      <c r="AK80" s="97" t="s">
        <v>1338</v>
      </c>
      <c r="AL80" s="90" t="b">
        <v>0</v>
      </c>
      <c r="AM80" s="90">
        <v>0</v>
      </c>
      <c r="AN80" s="97" t="s">
        <v>1338</v>
      </c>
      <c r="AO80" s="97" t="s">
        <v>1452</v>
      </c>
      <c r="AP80" s="90" t="b">
        <v>0</v>
      </c>
      <c r="AQ80" s="97" t="s">
        <v>1237</v>
      </c>
      <c r="AR80" s="90" t="s">
        <v>187</v>
      </c>
      <c r="AS80" s="90">
        <v>0</v>
      </c>
      <c r="AT80" s="90">
        <v>0</v>
      </c>
      <c r="AU80" s="90"/>
      <c r="AV80" s="90"/>
      <c r="AW80" s="90"/>
      <c r="AX80" s="90"/>
      <c r="AY80" s="90"/>
      <c r="AZ80" s="90"/>
      <c r="BA80" s="90"/>
      <c r="BB80" s="90"/>
      <c r="BC80">
        <v>1</v>
      </c>
      <c r="BD80" s="89" t="str">
        <f>REPLACE(INDEX(GroupVertices[Group],MATCH(Edges[[#This Row],[Vertex 1]],GroupVertices[Vertex],0)),1,1,"")</f>
        <v>6</v>
      </c>
      <c r="BE80" s="89" t="str">
        <f>REPLACE(INDEX(GroupVertices[Group],MATCH(Edges[[#This Row],[Vertex 2]],GroupVertices[Vertex],0)),1,1,"")</f>
        <v>6</v>
      </c>
      <c r="BF80" s="49"/>
      <c r="BG80" s="50"/>
      <c r="BH80" s="49"/>
      <c r="BI80" s="50"/>
      <c r="BJ80" s="49"/>
      <c r="BK80" s="50"/>
      <c r="BL80" s="49"/>
      <c r="BM80" s="50"/>
      <c r="BN80" s="49"/>
    </row>
    <row r="81" spans="1:66" ht="15">
      <c r="A81" s="65" t="s">
        <v>256</v>
      </c>
      <c r="B81" s="65" t="s">
        <v>388</v>
      </c>
      <c r="C81" s="66" t="s">
        <v>5817</v>
      </c>
      <c r="D81" s="67">
        <v>1</v>
      </c>
      <c r="E81" s="68" t="s">
        <v>132</v>
      </c>
      <c r="F81" s="69">
        <v>32</v>
      </c>
      <c r="G81" s="66" t="s">
        <v>51</v>
      </c>
      <c r="H81" s="70"/>
      <c r="I81" s="71"/>
      <c r="J81" s="71"/>
      <c r="K81" s="35" t="s">
        <v>65</v>
      </c>
      <c r="L81" s="79">
        <v>81</v>
      </c>
      <c r="M81" s="79"/>
      <c r="N81" s="73"/>
      <c r="O81" s="90" t="s">
        <v>524</v>
      </c>
      <c r="P81" s="93">
        <v>44528.513449074075</v>
      </c>
      <c r="Q81" s="90" t="s">
        <v>554</v>
      </c>
      <c r="R81" s="90"/>
      <c r="S81" s="90"/>
      <c r="T81" s="90"/>
      <c r="U81" s="90"/>
      <c r="V81" s="96" t="str">
        <f>HYPERLINK("https://abs.twimg.com/sticky/default_profile_images/default_profile_normal.png")</f>
        <v>https://abs.twimg.com/sticky/default_profile_images/default_profile_normal.png</v>
      </c>
      <c r="W81" s="93">
        <v>44528.513449074075</v>
      </c>
      <c r="X81" s="100">
        <v>44528</v>
      </c>
      <c r="Y81" s="97" t="s">
        <v>753</v>
      </c>
      <c r="Z81" s="96" t="str">
        <f>HYPERLINK("https://twitter.com/haukkatar70/status/1464931925110534145")</f>
        <v>https://twitter.com/haukkatar70/status/1464931925110534145</v>
      </c>
      <c r="AA81" s="90"/>
      <c r="AB81" s="90"/>
      <c r="AC81" s="97" t="s">
        <v>1005</v>
      </c>
      <c r="AD81" s="97" t="s">
        <v>1238</v>
      </c>
      <c r="AE81" s="90" t="b">
        <v>0</v>
      </c>
      <c r="AF81" s="90">
        <v>0</v>
      </c>
      <c r="AG81" s="97" t="s">
        <v>1357</v>
      </c>
      <c r="AH81" s="90" t="b">
        <v>0</v>
      </c>
      <c r="AI81" s="90" t="s">
        <v>1442</v>
      </c>
      <c r="AJ81" s="90"/>
      <c r="AK81" s="97" t="s">
        <v>1338</v>
      </c>
      <c r="AL81" s="90" t="b">
        <v>0</v>
      </c>
      <c r="AM81" s="90">
        <v>0</v>
      </c>
      <c r="AN81" s="97" t="s">
        <v>1338</v>
      </c>
      <c r="AO81" s="97" t="s">
        <v>1452</v>
      </c>
      <c r="AP81" s="90" t="b">
        <v>0</v>
      </c>
      <c r="AQ81" s="97" t="s">
        <v>1238</v>
      </c>
      <c r="AR81" s="90" t="s">
        <v>187</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c r="BG81" s="50"/>
      <c r="BH81" s="49"/>
      <c r="BI81" s="50"/>
      <c r="BJ81" s="49"/>
      <c r="BK81" s="50"/>
      <c r="BL81" s="49"/>
      <c r="BM81" s="50"/>
      <c r="BN81" s="49"/>
    </row>
    <row r="82" spans="1:66" ht="15">
      <c r="A82" s="65" t="s">
        <v>256</v>
      </c>
      <c r="B82" s="65" t="s">
        <v>404</v>
      </c>
      <c r="C82" s="66" t="s">
        <v>5817</v>
      </c>
      <c r="D82" s="67">
        <v>1</v>
      </c>
      <c r="E82" s="68" t="s">
        <v>132</v>
      </c>
      <c r="F82" s="69">
        <v>32</v>
      </c>
      <c r="G82" s="66" t="s">
        <v>51</v>
      </c>
      <c r="H82" s="70"/>
      <c r="I82" s="71"/>
      <c r="J82" s="71"/>
      <c r="K82" s="35" t="s">
        <v>65</v>
      </c>
      <c r="L82" s="79">
        <v>82</v>
      </c>
      <c r="M82" s="79"/>
      <c r="N82" s="73"/>
      <c r="O82" s="90" t="s">
        <v>523</v>
      </c>
      <c r="P82" s="93">
        <v>44528.513449074075</v>
      </c>
      <c r="Q82" s="90" t="s">
        <v>554</v>
      </c>
      <c r="R82" s="90"/>
      <c r="S82" s="90"/>
      <c r="T82" s="90"/>
      <c r="U82" s="90"/>
      <c r="V82" s="96" t="str">
        <f>HYPERLINK("https://abs.twimg.com/sticky/default_profile_images/default_profile_normal.png")</f>
        <v>https://abs.twimg.com/sticky/default_profile_images/default_profile_normal.png</v>
      </c>
      <c r="W82" s="93">
        <v>44528.513449074075</v>
      </c>
      <c r="X82" s="100">
        <v>44528</v>
      </c>
      <c r="Y82" s="97" t="s">
        <v>753</v>
      </c>
      <c r="Z82" s="96" t="str">
        <f>HYPERLINK("https://twitter.com/haukkatar70/status/1464931925110534145")</f>
        <v>https://twitter.com/haukkatar70/status/1464931925110534145</v>
      </c>
      <c r="AA82" s="90"/>
      <c r="AB82" s="90"/>
      <c r="AC82" s="97" t="s">
        <v>1005</v>
      </c>
      <c r="AD82" s="97" t="s">
        <v>1238</v>
      </c>
      <c r="AE82" s="90" t="b">
        <v>0</v>
      </c>
      <c r="AF82" s="90">
        <v>0</v>
      </c>
      <c r="AG82" s="97" t="s">
        <v>1357</v>
      </c>
      <c r="AH82" s="90" t="b">
        <v>0</v>
      </c>
      <c r="AI82" s="90" t="s">
        <v>1442</v>
      </c>
      <c r="AJ82" s="90"/>
      <c r="AK82" s="97" t="s">
        <v>1338</v>
      </c>
      <c r="AL82" s="90" t="b">
        <v>0</v>
      </c>
      <c r="AM82" s="90">
        <v>0</v>
      </c>
      <c r="AN82" s="97" t="s">
        <v>1338</v>
      </c>
      <c r="AO82" s="97" t="s">
        <v>1452</v>
      </c>
      <c r="AP82" s="90" t="b">
        <v>0</v>
      </c>
      <c r="AQ82" s="97" t="s">
        <v>1238</v>
      </c>
      <c r="AR82" s="90" t="s">
        <v>187</v>
      </c>
      <c r="AS82" s="90">
        <v>0</v>
      </c>
      <c r="AT82" s="90">
        <v>0</v>
      </c>
      <c r="AU82" s="90"/>
      <c r="AV82" s="90"/>
      <c r="AW82" s="90"/>
      <c r="AX82" s="90"/>
      <c r="AY82" s="90"/>
      <c r="AZ82" s="90"/>
      <c r="BA82" s="90"/>
      <c r="BB82" s="90"/>
      <c r="BC82">
        <v>1</v>
      </c>
      <c r="BD82" s="89" t="str">
        <f>REPLACE(INDEX(GroupVertices[Group],MATCH(Edges[[#This Row],[Vertex 1]],GroupVertices[Vertex],0)),1,1,"")</f>
        <v>7</v>
      </c>
      <c r="BE82" s="89" t="str">
        <f>REPLACE(INDEX(GroupVertices[Group],MATCH(Edges[[#This Row],[Vertex 2]],GroupVertices[Vertex],0)),1,1,"")</f>
        <v>7</v>
      </c>
      <c r="BF82" s="49"/>
      <c r="BG82" s="50"/>
      <c r="BH82" s="49"/>
      <c r="BI82" s="50"/>
      <c r="BJ82" s="49"/>
      <c r="BK82" s="50"/>
      <c r="BL82" s="49"/>
      <c r="BM82" s="50"/>
      <c r="BN82" s="49"/>
    </row>
    <row r="83" spans="1:66" ht="15">
      <c r="A83" s="65" t="s">
        <v>256</v>
      </c>
      <c r="B83" s="65" t="s">
        <v>338</v>
      </c>
      <c r="C83" s="66" t="s">
        <v>5817</v>
      </c>
      <c r="D83" s="67">
        <v>1</v>
      </c>
      <c r="E83" s="68" t="s">
        <v>132</v>
      </c>
      <c r="F83" s="69">
        <v>32</v>
      </c>
      <c r="G83" s="66" t="s">
        <v>51</v>
      </c>
      <c r="H83" s="70"/>
      <c r="I83" s="71"/>
      <c r="J83" s="71"/>
      <c r="K83" s="35" t="s">
        <v>65</v>
      </c>
      <c r="L83" s="79">
        <v>83</v>
      </c>
      <c r="M83" s="79"/>
      <c r="N83" s="73"/>
      <c r="O83" s="90" t="s">
        <v>524</v>
      </c>
      <c r="P83" s="93">
        <v>44528.513449074075</v>
      </c>
      <c r="Q83" s="90" t="s">
        <v>554</v>
      </c>
      <c r="R83" s="90"/>
      <c r="S83" s="90"/>
      <c r="T83" s="90"/>
      <c r="U83" s="90"/>
      <c r="V83" s="96" t="str">
        <f>HYPERLINK("https://abs.twimg.com/sticky/default_profile_images/default_profile_normal.png")</f>
        <v>https://abs.twimg.com/sticky/default_profile_images/default_profile_normal.png</v>
      </c>
      <c r="W83" s="93">
        <v>44528.513449074075</v>
      </c>
      <c r="X83" s="100">
        <v>44528</v>
      </c>
      <c r="Y83" s="97" t="s">
        <v>753</v>
      </c>
      <c r="Z83" s="96" t="str">
        <f>HYPERLINK("https://twitter.com/haukkatar70/status/1464931925110534145")</f>
        <v>https://twitter.com/haukkatar70/status/1464931925110534145</v>
      </c>
      <c r="AA83" s="90"/>
      <c r="AB83" s="90"/>
      <c r="AC83" s="97" t="s">
        <v>1005</v>
      </c>
      <c r="AD83" s="97" t="s">
        <v>1238</v>
      </c>
      <c r="AE83" s="90" t="b">
        <v>0</v>
      </c>
      <c r="AF83" s="90">
        <v>0</v>
      </c>
      <c r="AG83" s="97" t="s">
        <v>1357</v>
      </c>
      <c r="AH83" s="90" t="b">
        <v>0</v>
      </c>
      <c r="AI83" s="90" t="s">
        <v>1442</v>
      </c>
      <c r="AJ83" s="90"/>
      <c r="AK83" s="97" t="s">
        <v>1338</v>
      </c>
      <c r="AL83" s="90" t="b">
        <v>0</v>
      </c>
      <c r="AM83" s="90">
        <v>0</v>
      </c>
      <c r="AN83" s="97" t="s">
        <v>1338</v>
      </c>
      <c r="AO83" s="97" t="s">
        <v>1452</v>
      </c>
      <c r="AP83" s="90" t="b">
        <v>0</v>
      </c>
      <c r="AQ83" s="97" t="s">
        <v>1238</v>
      </c>
      <c r="AR83" s="90" t="s">
        <v>187</v>
      </c>
      <c r="AS83" s="90">
        <v>0</v>
      </c>
      <c r="AT83" s="90">
        <v>0</v>
      </c>
      <c r="AU83" s="90"/>
      <c r="AV83" s="90"/>
      <c r="AW83" s="90"/>
      <c r="AX83" s="90"/>
      <c r="AY83" s="90"/>
      <c r="AZ83" s="90"/>
      <c r="BA83" s="90"/>
      <c r="BB83" s="90"/>
      <c r="BC83">
        <v>1</v>
      </c>
      <c r="BD83" s="89" t="str">
        <f>REPLACE(INDEX(GroupVertices[Group],MATCH(Edges[[#This Row],[Vertex 1]],GroupVertices[Vertex],0)),1,1,"")</f>
        <v>7</v>
      </c>
      <c r="BE83" s="89"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5" t="s">
        <v>257</v>
      </c>
      <c r="B84" s="65" t="s">
        <v>400</v>
      </c>
      <c r="C84" s="66" t="s">
        <v>5817</v>
      </c>
      <c r="D84" s="67">
        <v>1</v>
      </c>
      <c r="E84" s="68" t="s">
        <v>132</v>
      </c>
      <c r="F84" s="69">
        <v>32</v>
      </c>
      <c r="G84" s="66" t="s">
        <v>51</v>
      </c>
      <c r="H84" s="70"/>
      <c r="I84" s="71"/>
      <c r="J84" s="71"/>
      <c r="K84" s="35" t="s">
        <v>65</v>
      </c>
      <c r="L84" s="79">
        <v>84</v>
      </c>
      <c r="M84" s="79"/>
      <c r="N84" s="73"/>
      <c r="O84" s="90" t="s">
        <v>523</v>
      </c>
      <c r="P84" s="93">
        <v>44528.570856481485</v>
      </c>
      <c r="Q84" s="90" t="s">
        <v>555</v>
      </c>
      <c r="R84" s="90"/>
      <c r="S84" s="90"/>
      <c r="T84" s="90"/>
      <c r="U84" s="90"/>
      <c r="V84" s="96" t="str">
        <f>HYPERLINK("https://pbs.twimg.com/profile_images/1448289726927151112/lQx7uK0m_normal.jpg")</f>
        <v>https://pbs.twimg.com/profile_images/1448289726927151112/lQx7uK0m_normal.jpg</v>
      </c>
      <c r="W84" s="93">
        <v>44528.570856481485</v>
      </c>
      <c r="X84" s="100">
        <v>44528</v>
      </c>
      <c r="Y84" s="97" t="s">
        <v>754</v>
      </c>
      <c r="Z84" s="96" t="str">
        <f>HYPERLINK("https://twitter.com/kikkimirri/status/1464952727738400768")</f>
        <v>https://twitter.com/kikkimirri/status/1464952727738400768</v>
      </c>
      <c r="AA84" s="90"/>
      <c r="AB84" s="90"/>
      <c r="AC84" s="97" t="s">
        <v>1006</v>
      </c>
      <c r="AD84" s="97" t="s">
        <v>1234</v>
      </c>
      <c r="AE84" s="90" t="b">
        <v>0</v>
      </c>
      <c r="AF84" s="90">
        <v>0</v>
      </c>
      <c r="AG84" s="97" t="s">
        <v>1353</v>
      </c>
      <c r="AH84" s="90" t="b">
        <v>0</v>
      </c>
      <c r="AI84" s="90" t="s">
        <v>1442</v>
      </c>
      <c r="AJ84" s="90"/>
      <c r="AK84" s="97" t="s">
        <v>1338</v>
      </c>
      <c r="AL84" s="90" t="b">
        <v>0</v>
      </c>
      <c r="AM84" s="90">
        <v>0</v>
      </c>
      <c r="AN84" s="97" t="s">
        <v>1338</v>
      </c>
      <c r="AO84" s="97" t="s">
        <v>1452</v>
      </c>
      <c r="AP84" s="90" t="b">
        <v>0</v>
      </c>
      <c r="AQ84" s="97" t="s">
        <v>1234</v>
      </c>
      <c r="AR84" s="90" t="s">
        <v>187</v>
      </c>
      <c r="AS84" s="90">
        <v>0</v>
      </c>
      <c r="AT84" s="90">
        <v>0</v>
      </c>
      <c r="AU84" s="90"/>
      <c r="AV84" s="90"/>
      <c r="AW84" s="90"/>
      <c r="AX84" s="90"/>
      <c r="AY84" s="90"/>
      <c r="AZ84" s="90"/>
      <c r="BA84" s="90"/>
      <c r="BB84" s="90"/>
      <c r="BC84">
        <v>1</v>
      </c>
      <c r="BD84" s="89" t="str">
        <f>REPLACE(INDEX(GroupVertices[Group],MATCH(Edges[[#This Row],[Vertex 1]],GroupVertices[Vertex],0)),1,1,"")</f>
        <v>12</v>
      </c>
      <c r="BE84" s="89" t="str">
        <f>REPLACE(INDEX(GroupVertices[Group],MATCH(Edges[[#This Row],[Vertex 2]],GroupVertices[Vertex],0)),1,1,"")</f>
        <v>12</v>
      </c>
      <c r="BF84" s="49">
        <v>0</v>
      </c>
      <c r="BG84" s="50">
        <v>0</v>
      </c>
      <c r="BH84" s="49">
        <v>0</v>
      </c>
      <c r="BI84" s="50">
        <v>0</v>
      </c>
      <c r="BJ84" s="49">
        <v>0</v>
      </c>
      <c r="BK84" s="50">
        <v>0</v>
      </c>
      <c r="BL84" s="49">
        <v>13</v>
      </c>
      <c r="BM84" s="50">
        <v>100</v>
      </c>
      <c r="BN84" s="49">
        <v>13</v>
      </c>
    </row>
    <row r="85" spans="1:66" ht="15">
      <c r="A85" s="65" t="s">
        <v>258</v>
      </c>
      <c r="B85" s="65" t="s">
        <v>405</v>
      </c>
      <c r="C85" s="66" t="s">
        <v>5817</v>
      </c>
      <c r="D85" s="67">
        <v>1</v>
      </c>
      <c r="E85" s="68" t="s">
        <v>132</v>
      </c>
      <c r="F85" s="69">
        <v>32</v>
      </c>
      <c r="G85" s="66" t="s">
        <v>51</v>
      </c>
      <c r="H85" s="70"/>
      <c r="I85" s="71"/>
      <c r="J85" s="71"/>
      <c r="K85" s="35" t="s">
        <v>65</v>
      </c>
      <c r="L85" s="79">
        <v>85</v>
      </c>
      <c r="M85" s="79"/>
      <c r="N85" s="73"/>
      <c r="O85" s="90" t="s">
        <v>524</v>
      </c>
      <c r="P85" s="93">
        <v>44528.5887037037</v>
      </c>
      <c r="Q85" s="90" t="s">
        <v>556</v>
      </c>
      <c r="R85" s="90"/>
      <c r="S85" s="90"/>
      <c r="T85" s="90"/>
      <c r="U85" s="90"/>
      <c r="V85" s="96" t="str">
        <f>HYPERLINK("https://pbs.twimg.com/profile_images/1427342801860186122/a5GvyHOd_normal.jpg")</f>
        <v>https://pbs.twimg.com/profile_images/1427342801860186122/a5GvyHOd_normal.jpg</v>
      </c>
      <c r="W85" s="93">
        <v>44528.5887037037</v>
      </c>
      <c r="X85" s="100">
        <v>44528</v>
      </c>
      <c r="Y85" s="97" t="s">
        <v>755</v>
      </c>
      <c r="Z85" s="96" t="str">
        <f>HYPERLINK("https://twitter.com/terrieri4/status/1464959196382781444")</f>
        <v>https://twitter.com/terrieri4/status/1464959196382781444</v>
      </c>
      <c r="AA85" s="90"/>
      <c r="AB85" s="90"/>
      <c r="AC85" s="97" t="s">
        <v>1007</v>
      </c>
      <c r="AD85" s="97" t="s">
        <v>1239</v>
      </c>
      <c r="AE85" s="90" t="b">
        <v>0</v>
      </c>
      <c r="AF85" s="90">
        <v>1</v>
      </c>
      <c r="AG85" s="97" t="s">
        <v>1358</v>
      </c>
      <c r="AH85" s="90" t="b">
        <v>0</v>
      </c>
      <c r="AI85" s="90" t="s">
        <v>1442</v>
      </c>
      <c r="AJ85" s="90"/>
      <c r="AK85" s="97" t="s">
        <v>1338</v>
      </c>
      <c r="AL85" s="90" t="b">
        <v>0</v>
      </c>
      <c r="AM85" s="90">
        <v>0</v>
      </c>
      <c r="AN85" s="97" t="s">
        <v>1338</v>
      </c>
      <c r="AO85" s="97" t="s">
        <v>1451</v>
      </c>
      <c r="AP85" s="90" t="b">
        <v>0</v>
      </c>
      <c r="AQ85" s="97" t="s">
        <v>1239</v>
      </c>
      <c r="AR85" s="90" t="s">
        <v>187</v>
      </c>
      <c r="AS85" s="90">
        <v>0</v>
      </c>
      <c r="AT85" s="90">
        <v>0</v>
      </c>
      <c r="AU85" s="90"/>
      <c r="AV85" s="90"/>
      <c r="AW85" s="90"/>
      <c r="AX85" s="90"/>
      <c r="AY85" s="90"/>
      <c r="AZ85" s="90"/>
      <c r="BA85" s="90"/>
      <c r="BB85" s="90"/>
      <c r="BC85">
        <v>1</v>
      </c>
      <c r="BD85" s="89" t="str">
        <f>REPLACE(INDEX(GroupVertices[Group],MATCH(Edges[[#This Row],[Vertex 1]],GroupVertices[Vertex],0)),1,1,"")</f>
        <v>6</v>
      </c>
      <c r="BE85" s="89" t="str">
        <f>REPLACE(INDEX(GroupVertices[Group],MATCH(Edges[[#This Row],[Vertex 2]],GroupVertices[Vertex],0)),1,1,"")</f>
        <v>6</v>
      </c>
      <c r="BF85" s="49"/>
      <c r="BG85" s="50"/>
      <c r="BH85" s="49"/>
      <c r="BI85" s="50"/>
      <c r="BJ85" s="49"/>
      <c r="BK85" s="50"/>
      <c r="BL85" s="49"/>
      <c r="BM85" s="50"/>
      <c r="BN85" s="49"/>
    </row>
    <row r="86" spans="1:66" ht="15">
      <c r="A86" s="65" t="s">
        <v>258</v>
      </c>
      <c r="B86" s="65" t="s">
        <v>406</v>
      </c>
      <c r="C86" s="66" t="s">
        <v>5817</v>
      </c>
      <c r="D86" s="67">
        <v>1</v>
      </c>
      <c r="E86" s="68" t="s">
        <v>132</v>
      </c>
      <c r="F86" s="69">
        <v>32</v>
      </c>
      <c r="G86" s="66" t="s">
        <v>51</v>
      </c>
      <c r="H86" s="70"/>
      <c r="I86" s="71"/>
      <c r="J86" s="71"/>
      <c r="K86" s="35" t="s">
        <v>65</v>
      </c>
      <c r="L86" s="79">
        <v>86</v>
      </c>
      <c r="M86" s="79"/>
      <c r="N86" s="73"/>
      <c r="O86" s="90" t="s">
        <v>524</v>
      </c>
      <c r="P86" s="93">
        <v>44528.5887037037</v>
      </c>
      <c r="Q86" s="90" t="s">
        <v>556</v>
      </c>
      <c r="R86" s="90"/>
      <c r="S86" s="90"/>
      <c r="T86" s="90"/>
      <c r="U86" s="90"/>
      <c r="V86" s="96" t="str">
        <f>HYPERLINK("https://pbs.twimg.com/profile_images/1427342801860186122/a5GvyHOd_normal.jpg")</f>
        <v>https://pbs.twimg.com/profile_images/1427342801860186122/a5GvyHOd_normal.jpg</v>
      </c>
      <c r="W86" s="93">
        <v>44528.5887037037</v>
      </c>
      <c r="X86" s="100">
        <v>44528</v>
      </c>
      <c r="Y86" s="97" t="s">
        <v>755</v>
      </c>
      <c r="Z86" s="96" t="str">
        <f>HYPERLINK("https://twitter.com/terrieri4/status/1464959196382781444")</f>
        <v>https://twitter.com/terrieri4/status/1464959196382781444</v>
      </c>
      <c r="AA86" s="90"/>
      <c r="AB86" s="90"/>
      <c r="AC86" s="97" t="s">
        <v>1007</v>
      </c>
      <c r="AD86" s="97" t="s">
        <v>1239</v>
      </c>
      <c r="AE86" s="90" t="b">
        <v>0</v>
      </c>
      <c r="AF86" s="90">
        <v>1</v>
      </c>
      <c r="AG86" s="97" t="s">
        <v>1358</v>
      </c>
      <c r="AH86" s="90" t="b">
        <v>0</v>
      </c>
      <c r="AI86" s="90" t="s">
        <v>1442</v>
      </c>
      <c r="AJ86" s="90"/>
      <c r="AK86" s="97" t="s">
        <v>1338</v>
      </c>
      <c r="AL86" s="90" t="b">
        <v>0</v>
      </c>
      <c r="AM86" s="90">
        <v>0</v>
      </c>
      <c r="AN86" s="97" t="s">
        <v>1338</v>
      </c>
      <c r="AO86" s="97" t="s">
        <v>1451</v>
      </c>
      <c r="AP86" s="90" t="b">
        <v>0</v>
      </c>
      <c r="AQ86" s="97" t="s">
        <v>1239</v>
      </c>
      <c r="AR86" s="90" t="s">
        <v>187</v>
      </c>
      <c r="AS86" s="90">
        <v>0</v>
      </c>
      <c r="AT86" s="90">
        <v>0</v>
      </c>
      <c r="AU86" s="90"/>
      <c r="AV86" s="90"/>
      <c r="AW86" s="90"/>
      <c r="AX86" s="90"/>
      <c r="AY86" s="90"/>
      <c r="AZ86" s="90"/>
      <c r="BA86" s="90"/>
      <c r="BB86" s="90"/>
      <c r="BC86">
        <v>1</v>
      </c>
      <c r="BD86" s="89" t="str">
        <f>REPLACE(INDEX(GroupVertices[Group],MATCH(Edges[[#This Row],[Vertex 1]],GroupVertices[Vertex],0)),1,1,"")</f>
        <v>6</v>
      </c>
      <c r="BE86" s="89" t="str">
        <f>REPLACE(INDEX(GroupVertices[Group],MATCH(Edges[[#This Row],[Vertex 2]],GroupVertices[Vertex],0)),1,1,"")</f>
        <v>6</v>
      </c>
      <c r="BF86" s="49"/>
      <c r="BG86" s="50"/>
      <c r="BH86" s="49"/>
      <c r="BI86" s="50"/>
      <c r="BJ86" s="49"/>
      <c r="BK86" s="50"/>
      <c r="BL86" s="49"/>
      <c r="BM86" s="50"/>
      <c r="BN86" s="49"/>
    </row>
    <row r="87" spans="1:66" ht="15">
      <c r="A87" s="65" t="s">
        <v>258</v>
      </c>
      <c r="B87" s="65" t="s">
        <v>341</v>
      </c>
      <c r="C87" s="66" t="s">
        <v>5817</v>
      </c>
      <c r="D87" s="67">
        <v>1</v>
      </c>
      <c r="E87" s="68" t="s">
        <v>132</v>
      </c>
      <c r="F87" s="69">
        <v>32</v>
      </c>
      <c r="G87" s="66" t="s">
        <v>51</v>
      </c>
      <c r="H87" s="70"/>
      <c r="I87" s="71"/>
      <c r="J87" s="71"/>
      <c r="K87" s="35" t="s">
        <v>65</v>
      </c>
      <c r="L87" s="79">
        <v>87</v>
      </c>
      <c r="M87" s="79"/>
      <c r="N87" s="73"/>
      <c r="O87" s="90" t="s">
        <v>524</v>
      </c>
      <c r="P87" s="93">
        <v>44528.5887037037</v>
      </c>
      <c r="Q87" s="90" t="s">
        <v>556</v>
      </c>
      <c r="R87" s="90"/>
      <c r="S87" s="90"/>
      <c r="T87" s="90"/>
      <c r="U87" s="90"/>
      <c r="V87" s="96" t="str">
        <f>HYPERLINK("https://pbs.twimg.com/profile_images/1427342801860186122/a5GvyHOd_normal.jpg")</f>
        <v>https://pbs.twimg.com/profile_images/1427342801860186122/a5GvyHOd_normal.jpg</v>
      </c>
      <c r="W87" s="93">
        <v>44528.5887037037</v>
      </c>
      <c r="X87" s="100">
        <v>44528</v>
      </c>
      <c r="Y87" s="97" t="s">
        <v>755</v>
      </c>
      <c r="Z87" s="96" t="str">
        <f>HYPERLINK("https://twitter.com/terrieri4/status/1464959196382781444")</f>
        <v>https://twitter.com/terrieri4/status/1464959196382781444</v>
      </c>
      <c r="AA87" s="90"/>
      <c r="AB87" s="90"/>
      <c r="AC87" s="97" t="s">
        <v>1007</v>
      </c>
      <c r="AD87" s="97" t="s">
        <v>1239</v>
      </c>
      <c r="AE87" s="90" t="b">
        <v>0</v>
      </c>
      <c r="AF87" s="90">
        <v>1</v>
      </c>
      <c r="AG87" s="97" t="s">
        <v>1358</v>
      </c>
      <c r="AH87" s="90" t="b">
        <v>0</v>
      </c>
      <c r="AI87" s="90" t="s">
        <v>1442</v>
      </c>
      <c r="AJ87" s="90"/>
      <c r="AK87" s="97" t="s">
        <v>1338</v>
      </c>
      <c r="AL87" s="90" t="b">
        <v>0</v>
      </c>
      <c r="AM87" s="90">
        <v>0</v>
      </c>
      <c r="AN87" s="97" t="s">
        <v>1338</v>
      </c>
      <c r="AO87" s="97" t="s">
        <v>1451</v>
      </c>
      <c r="AP87" s="90" t="b">
        <v>0</v>
      </c>
      <c r="AQ87" s="97" t="s">
        <v>1239</v>
      </c>
      <c r="AR87" s="90" t="s">
        <v>187</v>
      </c>
      <c r="AS87" s="90">
        <v>0</v>
      </c>
      <c r="AT87" s="90">
        <v>0</v>
      </c>
      <c r="AU87" s="90"/>
      <c r="AV87" s="90"/>
      <c r="AW87" s="90"/>
      <c r="AX87" s="90"/>
      <c r="AY87" s="90"/>
      <c r="AZ87" s="90"/>
      <c r="BA87" s="90"/>
      <c r="BB87" s="90"/>
      <c r="BC87">
        <v>1</v>
      </c>
      <c r="BD87" s="89" t="str">
        <f>REPLACE(INDEX(GroupVertices[Group],MATCH(Edges[[#This Row],[Vertex 1]],GroupVertices[Vertex],0)),1,1,"")</f>
        <v>6</v>
      </c>
      <c r="BE87" s="89" t="str">
        <f>REPLACE(INDEX(GroupVertices[Group],MATCH(Edges[[#This Row],[Vertex 2]],GroupVertices[Vertex],0)),1,1,"")</f>
        <v>6</v>
      </c>
      <c r="BF87" s="49"/>
      <c r="BG87" s="50"/>
      <c r="BH87" s="49"/>
      <c r="BI87" s="50"/>
      <c r="BJ87" s="49"/>
      <c r="BK87" s="50"/>
      <c r="BL87" s="49"/>
      <c r="BM87" s="50"/>
      <c r="BN87" s="49"/>
    </row>
    <row r="88" spans="1:66" ht="15">
      <c r="A88" s="65" t="s">
        <v>258</v>
      </c>
      <c r="B88" s="65" t="s">
        <v>266</v>
      </c>
      <c r="C88" s="66" t="s">
        <v>5817</v>
      </c>
      <c r="D88" s="67">
        <v>1</v>
      </c>
      <c r="E88" s="68" t="s">
        <v>132</v>
      </c>
      <c r="F88" s="69">
        <v>32</v>
      </c>
      <c r="G88" s="66" t="s">
        <v>51</v>
      </c>
      <c r="H88" s="70"/>
      <c r="I88" s="71"/>
      <c r="J88" s="71"/>
      <c r="K88" s="35" t="s">
        <v>65</v>
      </c>
      <c r="L88" s="79">
        <v>88</v>
      </c>
      <c r="M88" s="79"/>
      <c r="N88" s="73"/>
      <c r="O88" s="90" t="s">
        <v>523</v>
      </c>
      <c r="P88" s="93">
        <v>44528.5887037037</v>
      </c>
      <c r="Q88" s="90" t="s">
        <v>556</v>
      </c>
      <c r="R88" s="90"/>
      <c r="S88" s="90"/>
      <c r="T88" s="90"/>
      <c r="U88" s="90"/>
      <c r="V88" s="96" t="str">
        <f>HYPERLINK("https://pbs.twimg.com/profile_images/1427342801860186122/a5GvyHOd_normal.jpg")</f>
        <v>https://pbs.twimg.com/profile_images/1427342801860186122/a5GvyHOd_normal.jpg</v>
      </c>
      <c r="W88" s="93">
        <v>44528.5887037037</v>
      </c>
      <c r="X88" s="100">
        <v>44528</v>
      </c>
      <c r="Y88" s="97" t="s">
        <v>755</v>
      </c>
      <c r="Z88" s="96" t="str">
        <f>HYPERLINK("https://twitter.com/terrieri4/status/1464959196382781444")</f>
        <v>https://twitter.com/terrieri4/status/1464959196382781444</v>
      </c>
      <c r="AA88" s="90"/>
      <c r="AB88" s="90"/>
      <c r="AC88" s="97" t="s">
        <v>1007</v>
      </c>
      <c r="AD88" s="97" t="s">
        <v>1239</v>
      </c>
      <c r="AE88" s="90" t="b">
        <v>0</v>
      </c>
      <c r="AF88" s="90">
        <v>1</v>
      </c>
      <c r="AG88" s="97" t="s">
        <v>1358</v>
      </c>
      <c r="AH88" s="90" t="b">
        <v>0</v>
      </c>
      <c r="AI88" s="90" t="s">
        <v>1442</v>
      </c>
      <c r="AJ88" s="90"/>
      <c r="AK88" s="97" t="s">
        <v>1338</v>
      </c>
      <c r="AL88" s="90" t="b">
        <v>0</v>
      </c>
      <c r="AM88" s="90">
        <v>0</v>
      </c>
      <c r="AN88" s="97" t="s">
        <v>1338</v>
      </c>
      <c r="AO88" s="97" t="s">
        <v>1451</v>
      </c>
      <c r="AP88" s="90" t="b">
        <v>0</v>
      </c>
      <c r="AQ88" s="97" t="s">
        <v>1239</v>
      </c>
      <c r="AR88" s="90" t="s">
        <v>187</v>
      </c>
      <c r="AS88" s="90">
        <v>0</v>
      </c>
      <c r="AT88" s="90">
        <v>0</v>
      </c>
      <c r="AU88" s="90"/>
      <c r="AV88" s="90"/>
      <c r="AW88" s="90"/>
      <c r="AX88" s="90"/>
      <c r="AY88" s="90"/>
      <c r="AZ88" s="90"/>
      <c r="BA88" s="90"/>
      <c r="BB88" s="90"/>
      <c r="BC88">
        <v>1</v>
      </c>
      <c r="BD88" s="89" t="str">
        <f>REPLACE(INDEX(GroupVertices[Group],MATCH(Edges[[#This Row],[Vertex 1]],GroupVertices[Vertex],0)),1,1,"")</f>
        <v>6</v>
      </c>
      <c r="BE88" s="89" t="str">
        <f>REPLACE(INDEX(GroupVertices[Group],MATCH(Edges[[#This Row],[Vertex 2]],GroupVertices[Vertex],0)),1,1,"")</f>
        <v>8</v>
      </c>
      <c r="BF88" s="49">
        <v>0</v>
      </c>
      <c r="BG88" s="50">
        <v>0</v>
      </c>
      <c r="BH88" s="49">
        <v>0</v>
      </c>
      <c r="BI88" s="50">
        <v>0</v>
      </c>
      <c r="BJ88" s="49">
        <v>0</v>
      </c>
      <c r="BK88" s="50">
        <v>0</v>
      </c>
      <c r="BL88" s="49">
        <v>18</v>
      </c>
      <c r="BM88" s="50">
        <v>100</v>
      </c>
      <c r="BN88" s="49">
        <v>18</v>
      </c>
    </row>
    <row r="89" spans="1:66" ht="15">
      <c r="A89" s="65" t="s">
        <v>259</v>
      </c>
      <c r="B89" s="65" t="s">
        <v>407</v>
      </c>
      <c r="C89" s="66" t="s">
        <v>5817</v>
      </c>
      <c r="D89" s="67">
        <v>1</v>
      </c>
      <c r="E89" s="68" t="s">
        <v>132</v>
      </c>
      <c r="F89" s="69">
        <v>32</v>
      </c>
      <c r="G89" s="66" t="s">
        <v>51</v>
      </c>
      <c r="H89" s="70"/>
      <c r="I89" s="71"/>
      <c r="J89" s="71"/>
      <c r="K89" s="35" t="s">
        <v>65</v>
      </c>
      <c r="L89" s="79">
        <v>89</v>
      </c>
      <c r="M89" s="79"/>
      <c r="N89" s="73"/>
      <c r="O89" s="90" t="s">
        <v>524</v>
      </c>
      <c r="P89" s="93">
        <v>44528.75751157408</v>
      </c>
      <c r="Q89" s="90" t="s">
        <v>557</v>
      </c>
      <c r="R89" s="96" t="str">
        <f>HYPERLINK("https://twitter.com/kallmemeg/status/1463493922437619715")</f>
        <v>https://twitter.com/kallmemeg/status/1463493922437619715</v>
      </c>
      <c r="S89" s="90" t="s">
        <v>693</v>
      </c>
      <c r="T89" s="90"/>
      <c r="U89" s="90"/>
      <c r="V89" s="96" t="str">
        <f>HYPERLINK("https://pbs.twimg.com/profile_images/1350881902429949953/bJeqMo51_normal.jpg")</f>
        <v>https://pbs.twimg.com/profile_images/1350881902429949953/bJeqMo51_normal.jpg</v>
      </c>
      <c r="W89" s="93">
        <v>44528.75751157408</v>
      </c>
      <c r="X89" s="100">
        <v>44528</v>
      </c>
      <c r="Y89" s="97" t="s">
        <v>756</v>
      </c>
      <c r="Z89" s="96" t="str">
        <f>HYPERLINK("https://twitter.com/bp20185/status/1465020369333587974")</f>
        <v>https://twitter.com/bp20185/status/1465020369333587974</v>
      </c>
      <c r="AA89" s="90"/>
      <c r="AB89" s="90"/>
      <c r="AC89" s="97" t="s">
        <v>1008</v>
      </c>
      <c r="AD89" s="97" t="s">
        <v>1240</v>
      </c>
      <c r="AE89" s="90" t="b">
        <v>0</v>
      </c>
      <c r="AF89" s="90">
        <v>2</v>
      </c>
      <c r="AG89" s="97" t="s">
        <v>1359</v>
      </c>
      <c r="AH89" s="90" t="b">
        <v>1</v>
      </c>
      <c r="AI89" s="90" t="s">
        <v>1442</v>
      </c>
      <c r="AJ89" s="90"/>
      <c r="AK89" s="97" t="s">
        <v>1447</v>
      </c>
      <c r="AL89" s="90" t="b">
        <v>0</v>
      </c>
      <c r="AM89" s="90">
        <v>0</v>
      </c>
      <c r="AN89" s="97" t="s">
        <v>1338</v>
      </c>
      <c r="AO89" s="97" t="s">
        <v>1451</v>
      </c>
      <c r="AP89" s="90" t="b">
        <v>0</v>
      </c>
      <c r="AQ89" s="97" t="s">
        <v>1240</v>
      </c>
      <c r="AR89" s="90" t="s">
        <v>187</v>
      </c>
      <c r="AS89" s="90">
        <v>0</v>
      </c>
      <c r="AT89" s="90">
        <v>0</v>
      </c>
      <c r="AU89" s="90"/>
      <c r="AV89" s="90"/>
      <c r="AW89" s="90"/>
      <c r="AX89" s="90"/>
      <c r="AY89" s="90"/>
      <c r="AZ89" s="90"/>
      <c r="BA89" s="90"/>
      <c r="BB89" s="90"/>
      <c r="BC89">
        <v>1</v>
      </c>
      <c r="BD89" s="89" t="str">
        <f>REPLACE(INDEX(GroupVertices[Group],MATCH(Edges[[#This Row],[Vertex 1]],GroupVertices[Vertex],0)),1,1,"")</f>
        <v>20</v>
      </c>
      <c r="BE89" s="89" t="str">
        <f>REPLACE(INDEX(GroupVertices[Group],MATCH(Edges[[#This Row],[Vertex 2]],GroupVertices[Vertex],0)),1,1,"")</f>
        <v>20</v>
      </c>
      <c r="BF89" s="49"/>
      <c r="BG89" s="50"/>
      <c r="BH89" s="49"/>
      <c r="BI89" s="50"/>
      <c r="BJ89" s="49"/>
      <c r="BK89" s="50"/>
      <c r="BL89" s="49"/>
      <c r="BM89" s="50"/>
      <c r="BN89" s="49"/>
    </row>
    <row r="90" spans="1:66" ht="15">
      <c r="A90" s="65" t="s">
        <v>259</v>
      </c>
      <c r="B90" s="65" t="s">
        <v>408</v>
      </c>
      <c r="C90" s="66" t="s">
        <v>5817</v>
      </c>
      <c r="D90" s="67">
        <v>1</v>
      </c>
      <c r="E90" s="68" t="s">
        <v>132</v>
      </c>
      <c r="F90" s="69">
        <v>32</v>
      </c>
      <c r="G90" s="66" t="s">
        <v>51</v>
      </c>
      <c r="H90" s="70"/>
      <c r="I90" s="71"/>
      <c r="J90" s="71"/>
      <c r="K90" s="35" t="s">
        <v>65</v>
      </c>
      <c r="L90" s="79">
        <v>90</v>
      </c>
      <c r="M90" s="79"/>
      <c r="N90" s="73"/>
      <c r="O90" s="90" t="s">
        <v>523</v>
      </c>
      <c r="P90" s="93">
        <v>44528.75751157408</v>
      </c>
      <c r="Q90" s="90" t="s">
        <v>557</v>
      </c>
      <c r="R90" s="96" t="str">
        <f>HYPERLINK("https://twitter.com/kallmemeg/status/1463493922437619715")</f>
        <v>https://twitter.com/kallmemeg/status/1463493922437619715</v>
      </c>
      <c r="S90" s="90" t="s">
        <v>693</v>
      </c>
      <c r="T90" s="90"/>
      <c r="U90" s="90"/>
      <c r="V90" s="96" t="str">
        <f>HYPERLINK("https://pbs.twimg.com/profile_images/1350881902429949953/bJeqMo51_normal.jpg")</f>
        <v>https://pbs.twimg.com/profile_images/1350881902429949953/bJeqMo51_normal.jpg</v>
      </c>
      <c r="W90" s="93">
        <v>44528.75751157408</v>
      </c>
      <c r="X90" s="100">
        <v>44528</v>
      </c>
      <c r="Y90" s="97" t="s">
        <v>756</v>
      </c>
      <c r="Z90" s="96" t="str">
        <f>HYPERLINK("https://twitter.com/bp20185/status/1465020369333587974")</f>
        <v>https://twitter.com/bp20185/status/1465020369333587974</v>
      </c>
      <c r="AA90" s="90"/>
      <c r="AB90" s="90"/>
      <c r="AC90" s="97" t="s">
        <v>1008</v>
      </c>
      <c r="AD90" s="97" t="s">
        <v>1240</v>
      </c>
      <c r="AE90" s="90" t="b">
        <v>0</v>
      </c>
      <c r="AF90" s="90">
        <v>2</v>
      </c>
      <c r="AG90" s="97" t="s">
        <v>1359</v>
      </c>
      <c r="AH90" s="90" t="b">
        <v>1</v>
      </c>
      <c r="AI90" s="90" t="s">
        <v>1442</v>
      </c>
      <c r="AJ90" s="90"/>
      <c r="AK90" s="97" t="s">
        <v>1447</v>
      </c>
      <c r="AL90" s="90" t="b">
        <v>0</v>
      </c>
      <c r="AM90" s="90">
        <v>0</v>
      </c>
      <c r="AN90" s="97" t="s">
        <v>1338</v>
      </c>
      <c r="AO90" s="97" t="s">
        <v>1451</v>
      </c>
      <c r="AP90" s="90" t="b">
        <v>0</v>
      </c>
      <c r="AQ90" s="97" t="s">
        <v>1240</v>
      </c>
      <c r="AR90" s="90" t="s">
        <v>187</v>
      </c>
      <c r="AS90" s="90">
        <v>0</v>
      </c>
      <c r="AT90" s="90">
        <v>0</v>
      </c>
      <c r="AU90" s="90"/>
      <c r="AV90" s="90"/>
      <c r="AW90" s="90"/>
      <c r="AX90" s="90"/>
      <c r="AY90" s="90"/>
      <c r="AZ90" s="90"/>
      <c r="BA90" s="90"/>
      <c r="BB90" s="90"/>
      <c r="BC90">
        <v>1</v>
      </c>
      <c r="BD90" s="89" t="str">
        <f>REPLACE(INDEX(GroupVertices[Group],MATCH(Edges[[#This Row],[Vertex 1]],GroupVertices[Vertex],0)),1,1,"")</f>
        <v>20</v>
      </c>
      <c r="BE90" s="89" t="str">
        <f>REPLACE(INDEX(GroupVertices[Group],MATCH(Edges[[#This Row],[Vertex 2]],GroupVertices[Vertex],0)),1,1,"")</f>
        <v>20</v>
      </c>
      <c r="BF90" s="49">
        <v>0</v>
      </c>
      <c r="BG90" s="50">
        <v>0</v>
      </c>
      <c r="BH90" s="49">
        <v>0</v>
      </c>
      <c r="BI90" s="50">
        <v>0</v>
      </c>
      <c r="BJ90" s="49">
        <v>0</v>
      </c>
      <c r="BK90" s="50">
        <v>0</v>
      </c>
      <c r="BL90" s="49">
        <v>30</v>
      </c>
      <c r="BM90" s="50">
        <v>100</v>
      </c>
      <c r="BN90" s="49">
        <v>30</v>
      </c>
    </row>
    <row r="91" spans="1:66" ht="15">
      <c r="A91" s="65" t="s">
        <v>260</v>
      </c>
      <c r="B91" s="65" t="s">
        <v>287</v>
      </c>
      <c r="C91" s="66" t="s">
        <v>5817</v>
      </c>
      <c r="D91" s="67">
        <v>1</v>
      </c>
      <c r="E91" s="68" t="s">
        <v>132</v>
      </c>
      <c r="F91" s="69">
        <v>32</v>
      </c>
      <c r="G91" s="66" t="s">
        <v>51</v>
      </c>
      <c r="H91" s="70"/>
      <c r="I91" s="71"/>
      <c r="J91" s="71"/>
      <c r="K91" s="35" t="s">
        <v>65</v>
      </c>
      <c r="L91" s="79">
        <v>91</v>
      </c>
      <c r="M91" s="79"/>
      <c r="N91" s="73"/>
      <c r="O91" s="90" t="s">
        <v>522</v>
      </c>
      <c r="P91" s="93">
        <v>44528.906122685185</v>
      </c>
      <c r="Q91" s="90" t="s">
        <v>528</v>
      </c>
      <c r="R91" s="90"/>
      <c r="S91" s="90"/>
      <c r="T91" s="90"/>
      <c r="U91" s="96" t="str">
        <f>HYPERLINK("https://pbs.twimg.com/media/FEyeCZTWYAML1pL.jpg")</f>
        <v>https://pbs.twimg.com/media/FEyeCZTWYAML1pL.jpg</v>
      </c>
      <c r="V91" s="96" t="str">
        <f>HYPERLINK("https://pbs.twimg.com/media/FEyeCZTWYAML1pL.jpg")</f>
        <v>https://pbs.twimg.com/media/FEyeCZTWYAML1pL.jpg</v>
      </c>
      <c r="W91" s="93">
        <v>44528.906122685185</v>
      </c>
      <c r="X91" s="100">
        <v>44528</v>
      </c>
      <c r="Y91" s="97" t="s">
        <v>757</v>
      </c>
      <c r="Z91" s="96" t="str">
        <f>HYPERLINK("https://twitter.com/citizensawarena/status/1465074224687566855")</f>
        <v>https://twitter.com/citizensawarena/status/1465074224687566855</v>
      </c>
      <c r="AA91" s="90"/>
      <c r="AB91" s="90"/>
      <c r="AC91" s="97" t="s">
        <v>1009</v>
      </c>
      <c r="AD91" s="90"/>
      <c r="AE91" s="90" t="b">
        <v>0</v>
      </c>
      <c r="AF91" s="90">
        <v>0</v>
      </c>
      <c r="AG91" s="97" t="s">
        <v>1338</v>
      </c>
      <c r="AH91" s="90" t="b">
        <v>0</v>
      </c>
      <c r="AI91" s="90" t="s">
        <v>1442</v>
      </c>
      <c r="AJ91" s="90"/>
      <c r="AK91" s="97" t="s">
        <v>1338</v>
      </c>
      <c r="AL91" s="90" t="b">
        <v>0</v>
      </c>
      <c r="AM91" s="90">
        <v>152</v>
      </c>
      <c r="AN91" s="97" t="s">
        <v>1050</v>
      </c>
      <c r="AO91" s="97" t="s">
        <v>1452</v>
      </c>
      <c r="AP91" s="90" t="b">
        <v>0</v>
      </c>
      <c r="AQ91" s="97" t="s">
        <v>1050</v>
      </c>
      <c r="AR91" s="90" t="s">
        <v>187</v>
      </c>
      <c r="AS91" s="90">
        <v>0</v>
      </c>
      <c r="AT91" s="90">
        <v>0</v>
      </c>
      <c r="AU91" s="90"/>
      <c r="AV91" s="90"/>
      <c r="AW91" s="90"/>
      <c r="AX91" s="90"/>
      <c r="AY91" s="90"/>
      <c r="AZ91" s="90"/>
      <c r="BA91" s="90"/>
      <c r="BB91" s="90"/>
      <c r="BC91">
        <v>1</v>
      </c>
      <c r="BD91" s="89" t="str">
        <f>REPLACE(INDEX(GroupVertices[Group],MATCH(Edges[[#This Row],[Vertex 1]],GroupVertices[Vertex],0)),1,1,"")</f>
        <v>4</v>
      </c>
      <c r="BE91" s="89" t="str">
        <f>REPLACE(INDEX(GroupVertices[Group],MATCH(Edges[[#This Row],[Vertex 2]],GroupVertices[Vertex],0)),1,1,"")</f>
        <v>4</v>
      </c>
      <c r="BF91" s="49">
        <v>0</v>
      </c>
      <c r="BG91" s="50">
        <v>0</v>
      </c>
      <c r="BH91" s="49">
        <v>0</v>
      </c>
      <c r="BI91" s="50">
        <v>0</v>
      </c>
      <c r="BJ91" s="49">
        <v>0</v>
      </c>
      <c r="BK91" s="50">
        <v>0</v>
      </c>
      <c r="BL91" s="49">
        <v>8</v>
      </c>
      <c r="BM91" s="50">
        <v>100</v>
      </c>
      <c r="BN91" s="49">
        <v>8</v>
      </c>
    </row>
    <row r="92" spans="1:66" ht="15">
      <c r="A92" s="65" t="s">
        <v>261</v>
      </c>
      <c r="B92" s="65" t="s">
        <v>409</v>
      </c>
      <c r="C92" s="66" t="s">
        <v>5817</v>
      </c>
      <c r="D92" s="67">
        <v>1</v>
      </c>
      <c r="E92" s="68" t="s">
        <v>132</v>
      </c>
      <c r="F92" s="69">
        <v>32</v>
      </c>
      <c r="G92" s="66" t="s">
        <v>51</v>
      </c>
      <c r="H92" s="70"/>
      <c r="I92" s="71"/>
      <c r="J92" s="71"/>
      <c r="K92" s="35" t="s">
        <v>65</v>
      </c>
      <c r="L92" s="79">
        <v>92</v>
      </c>
      <c r="M92" s="79"/>
      <c r="N92" s="73"/>
      <c r="O92" s="90" t="s">
        <v>523</v>
      </c>
      <c r="P92" s="93">
        <v>44528.72892361111</v>
      </c>
      <c r="Q92" s="90" t="s">
        <v>558</v>
      </c>
      <c r="R92" s="90"/>
      <c r="S92" s="90"/>
      <c r="T92" s="90"/>
      <c r="U92" s="90"/>
      <c r="V92" s="96" t="str">
        <f>HYPERLINK("https://pbs.twimg.com/profile_images/1457449439241646088/M4JEODp7_normal.jpg")</f>
        <v>https://pbs.twimg.com/profile_images/1457449439241646088/M4JEODp7_normal.jpg</v>
      </c>
      <c r="W92" s="93">
        <v>44528.72892361111</v>
      </c>
      <c r="X92" s="100">
        <v>44528</v>
      </c>
      <c r="Y92" s="97" t="s">
        <v>758</v>
      </c>
      <c r="Z92" s="96" t="str">
        <f>HYPERLINK("https://twitter.com/aikuinen1/status/1465010010568675333")</f>
        <v>https://twitter.com/aikuinen1/status/1465010010568675333</v>
      </c>
      <c r="AA92" s="90"/>
      <c r="AB92" s="90"/>
      <c r="AC92" s="97" t="s">
        <v>1010</v>
      </c>
      <c r="AD92" s="97" t="s">
        <v>1241</v>
      </c>
      <c r="AE92" s="90" t="b">
        <v>0</v>
      </c>
      <c r="AF92" s="90">
        <v>0</v>
      </c>
      <c r="AG92" s="97" t="s">
        <v>1360</v>
      </c>
      <c r="AH92" s="90" t="b">
        <v>0</v>
      </c>
      <c r="AI92" s="90" t="s">
        <v>1442</v>
      </c>
      <c r="AJ92" s="90"/>
      <c r="AK92" s="97" t="s">
        <v>1338</v>
      </c>
      <c r="AL92" s="90" t="b">
        <v>0</v>
      </c>
      <c r="AM92" s="90">
        <v>0</v>
      </c>
      <c r="AN92" s="97" t="s">
        <v>1338</v>
      </c>
      <c r="AO92" s="97" t="s">
        <v>1452</v>
      </c>
      <c r="AP92" s="90" t="b">
        <v>0</v>
      </c>
      <c r="AQ92" s="97" t="s">
        <v>1241</v>
      </c>
      <c r="AR92" s="90" t="s">
        <v>187</v>
      </c>
      <c r="AS92" s="90">
        <v>0</v>
      </c>
      <c r="AT92" s="90">
        <v>0</v>
      </c>
      <c r="AU92" s="90"/>
      <c r="AV92" s="90"/>
      <c r="AW92" s="90"/>
      <c r="AX92" s="90"/>
      <c r="AY92" s="90"/>
      <c r="AZ92" s="90"/>
      <c r="BA92" s="90"/>
      <c r="BB92" s="90"/>
      <c r="BC92">
        <v>1</v>
      </c>
      <c r="BD92" s="89" t="str">
        <f>REPLACE(INDEX(GroupVertices[Group],MATCH(Edges[[#This Row],[Vertex 1]],GroupVertices[Vertex],0)),1,1,"")</f>
        <v>1</v>
      </c>
      <c r="BE92" s="89" t="str">
        <f>REPLACE(INDEX(GroupVertices[Group],MATCH(Edges[[#This Row],[Vertex 2]],GroupVertices[Vertex],0)),1,1,"")</f>
        <v>1</v>
      </c>
      <c r="BF92" s="49">
        <v>0</v>
      </c>
      <c r="BG92" s="50">
        <v>0</v>
      </c>
      <c r="BH92" s="49">
        <v>0</v>
      </c>
      <c r="BI92" s="50">
        <v>0</v>
      </c>
      <c r="BJ92" s="49">
        <v>0</v>
      </c>
      <c r="BK92" s="50">
        <v>0</v>
      </c>
      <c r="BL92" s="49">
        <v>13</v>
      </c>
      <c r="BM92" s="50">
        <v>100</v>
      </c>
      <c r="BN92" s="49">
        <v>13</v>
      </c>
    </row>
    <row r="93" spans="1:66" ht="15">
      <c r="A93" s="65" t="s">
        <v>261</v>
      </c>
      <c r="B93" s="65" t="s">
        <v>338</v>
      </c>
      <c r="C93" s="66" t="s">
        <v>5817</v>
      </c>
      <c r="D93" s="67">
        <v>1</v>
      </c>
      <c r="E93" s="68" t="s">
        <v>132</v>
      </c>
      <c r="F93" s="69">
        <v>32</v>
      </c>
      <c r="G93" s="66" t="s">
        <v>51</v>
      </c>
      <c r="H93" s="70"/>
      <c r="I93" s="71"/>
      <c r="J93" s="71"/>
      <c r="K93" s="35" t="s">
        <v>65</v>
      </c>
      <c r="L93" s="79">
        <v>93</v>
      </c>
      <c r="M93" s="79"/>
      <c r="N93" s="73"/>
      <c r="O93" s="90" t="s">
        <v>523</v>
      </c>
      <c r="P93" s="93">
        <v>44528.909224537034</v>
      </c>
      <c r="Q93" s="90" t="s">
        <v>559</v>
      </c>
      <c r="R93" s="90"/>
      <c r="S93" s="90"/>
      <c r="T93" s="90"/>
      <c r="U93" s="90"/>
      <c r="V93" s="96" t="str">
        <f>HYPERLINK("https://pbs.twimg.com/profile_images/1457449439241646088/M4JEODp7_normal.jpg")</f>
        <v>https://pbs.twimg.com/profile_images/1457449439241646088/M4JEODp7_normal.jpg</v>
      </c>
      <c r="W93" s="93">
        <v>44528.909224537034</v>
      </c>
      <c r="X93" s="100">
        <v>44528</v>
      </c>
      <c r="Y93" s="97" t="s">
        <v>759</v>
      </c>
      <c r="Z93" s="96" t="str">
        <f>HYPERLINK("https://twitter.com/aikuinen1/status/1465075348152926210")</f>
        <v>https://twitter.com/aikuinen1/status/1465075348152926210</v>
      </c>
      <c r="AA93" s="90"/>
      <c r="AB93" s="90"/>
      <c r="AC93" s="97" t="s">
        <v>1011</v>
      </c>
      <c r="AD93" s="97" t="s">
        <v>1242</v>
      </c>
      <c r="AE93" s="90" t="b">
        <v>0</v>
      </c>
      <c r="AF93" s="90">
        <v>0</v>
      </c>
      <c r="AG93" s="97" t="s">
        <v>1361</v>
      </c>
      <c r="AH93" s="90" t="b">
        <v>0</v>
      </c>
      <c r="AI93" s="90" t="s">
        <v>1442</v>
      </c>
      <c r="AJ93" s="90"/>
      <c r="AK93" s="97" t="s">
        <v>1338</v>
      </c>
      <c r="AL93" s="90" t="b">
        <v>0</v>
      </c>
      <c r="AM93" s="90">
        <v>0</v>
      </c>
      <c r="AN93" s="97" t="s">
        <v>1338</v>
      </c>
      <c r="AO93" s="97" t="s">
        <v>1452</v>
      </c>
      <c r="AP93" s="90" t="b">
        <v>0</v>
      </c>
      <c r="AQ93" s="97" t="s">
        <v>1242</v>
      </c>
      <c r="AR93" s="90" t="s">
        <v>187</v>
      </c>
      <c r="AS93" s="90">
        <v>0</v>
      </c>
      <c r="AT93" s="90">
        <v>0</v>
      </c>
      <c r="AU93" s="90"/>
      <c r="AV93" s="90"/>
      <c r="AW93" s="90"/>
      <c r="AX93" s="90"/>
      <c r="AY93" s="90"/>
      <c r="AZ93" s="90"/>
      <c r="BA93" s="90"/>
      <c r="BB93" s="90"/>
      <c r="BC93">
        <v>1</v>
      </c>
      <c r="BD93" s="89" t="str">
        <f>REPLACE(INDEX(GroupVertices[Group],MATCH(Edges[[#This Row],[Vertex 1]],GroupVertices[Vertex],0)),1,1,"")</f>
        <v>1</v>
      </c>
      <c r="BE93" s="89" t="str">
        <f>REPLACE(INDEX(GroupVertices[Group],MATCH(Edges[[#This Row],[Vertex 2]],GroupVertices[Vertex],0)),1,1,"")</f>
        <v>1</v>
      </c>
      <c r="BF93" s="49">
        <v>0</v>
      </c>
      <c r="BG93" s="50">
        <v>0</v>
      </c>
      <c r="BH93" s="49">
        <v>0</v>
      </c>
      <c r="BI93" s="50">
        <v>0</v>
      </c>
      <c r="BJ93" s="49">
        <v>0</v>
      </c>
      <c r="BK93" s="50">
        <v>0</v>
      </c>
      <c r="BL93" s="49">
        <v>16</v>
      </c>
      <c r="BM93" s="50">
        <v>100</v>
      </c>
      <c r="BN93" s="49">
        <v>16</v>
      </c>
    </row>
    <row r="94" spans="1:66" ht="15">
      <c r="A94" s="65" t="s">
        <v>262</v>
      </c>
      <c r="B94" s="65" t="s">
        <v>390</v>
      </c>
      <c r="C94" s="66" t="s">
        <v>5817</v>
      </c>
      <c r="D94" s="67">
        <v>1</v>
      </c>
      <c r="E94" s="68" t="s">
        <v>132</v>
      </c>
      <c r="F94" s="69">
        <v>32</v>
      </c>
      <c r="G94" s="66" t="s">
        <v>51</v>
      </c>
      <c r="H94" s="70"/>
      <c r="I94" s="71"/>
      <c r="J94" s="71"/>
      <c r="K94" s="35" t="s">
        <v>65</v>
      </c>
      <c r="L94" s="79">
        <v>94</v>
      </c>
      <c r="M94" s="79"/>
      <c r="N94" s="73"/>
      <c r="O94" s="90" t="s">
        <v>523</v>
      </c>
      <c r="P94" s="93">
        <v>44528.91857638889</v>
      </c>
      <c r="Q94" s="90" t="s">
        <v>560</v>
      </c>
      <c r="R94" s="90"/>
      <c r="S94" s="90"/>
      <c r="T94" s="90"/>
      <c r="U94" s="90"/>
      <c r="V94" s="96" t="str">
        <f>HYPERLINK("https://pbs.twimg.com/profile_images/1355345948118020100/1_WNEZNd_normal.jpg")</f>
        <v>https://pbs.twimg.com/profile_images/1355345948118020100/1_WNEZNd_normal.jpg</v>
      </c>
      <c r="W94" s="93">
        <v>44528.91857638889</v>
      </c>
      <c r="X94" s="100">
        <v>44528</v>
      </c>
      <c r="Y94" s="97" t="s">
        <v>760</v>
      </c>
      <c r="Z94" s="96" t="str">
        <f>HYPERLINK("https://twitter.com/lainerjlaine/status/1465078737410605063")</f>
        <v>https://twitter.com/lainerjlaine/status/1465078737410605063</v>
      </c>
      <c r="AA94" s="90"/>
      <c r="AB94" s="90"/>
      <c r="AC94" s="97" t="s">
        <v>1012</v>
      </c>
      <c r="AD94" s="97" t="s">
        <v>1243</v>
      </c>
      <c r="AE94" s="90" t="b">
        <v>0</v>
      </c>
      <c r="AF94" s="90">
        <v>8</v>
      </c>
      <c r="AG94" s="97" t="s">
        <v>1343</v>
      </c>
      <c r="AH94" s="90" t="b">
        <v>0</v>
      </c>
      <c r="AI94" s="90" t="s">
        <v>1442</v>
      </c>
      <c r="AJ94" s="90"/>
      <c r="AK94" s="97" t="s">
        <v>1338</v>
      </c>
      <c r="AL94" s="90" t="b">
        <v>0</v>
      </c>
      <c r="AM94" s="90">
        <v>0</v>
      </c>
      <c r="AN94" s="97" t="s">
        <v>1338</v>
      </c>
      <c r="AO94" s="97" t="s">
        <v>1450</v>
      </c>
      <c r="AP94" s="90" t="b">
        <v>0</v>
      </c>
      <c r="AQ94" s="97" t="s">
        <v>1243</v>
      </c>
      <c r="AR94" s="90" t="s">
        <v>187</v>
      </c>
      <c r="AS94" s="90">
        <v>0</v>
      </c>
      <c r="AT94" s="90">
        <v>0</v>
      </c>
      <c r="AU94" s="90"/>
      <c r="AV94" s="90"/>
      <c r="AW94" s="90"/>
      <c r="AX94" s="90"/>
      <c r="AY94" s="90"/>
      <c r="AZ94" s="90"/>
      <c r="BA94" s="90"/>
      <c r="BB94" s="90"/>
      <c r="BC94">
        <v>1</v>
      </c>
      <c r="BD94" s="89" t="str">
        <f>REPLACE(INDEX(GroupVertices[Group],MATCH(Edges[[#This Row],[Vertex 1]],GroupVertices[Vertex],0)),1,1,"")</f>
        <v>7</v>
      </c>
      <c r="BE94" s="89" t="str">
        <f>REPLACE(INDEX(GroupVertices[Group],MATCH(Edges[[#This Row],[Vertex 2]],GroupVertices[Vertex],0)),1,1,"")</f>
        <v>7</v>
      </c>
      <c r="BF94" s="49">
        <v>0</v>
      </c>
      <c r="BG94" s="50">
        <v>0</v>
      </c>
      <c r="BH94" s="49">
        <v>0</v>
      </c>
      <c r="BI94" s="50">
        <v>0</v>
      </c>
      <c r="BJ94" s="49">
        <v>0</v>
      </c>
      <c r="BK94" s="50">
        <v>0</v>
      </c>
      <c r="BL94" s="49">
        <v>30</v>
      </c>
      <c r="BM94" s="50">
        <v>100</v>
      </c>
      <c r="BN94" s="49">
        <v>30</v>
      </c>
    </row>
    <row r="95" spans="1:66" ht="15">
      <c r="A95" s="65" t="s">
        <v>263</v>
      </c>
      <c r="B95" s="65" t="s">
        <v>410</v>
      </c>
      <c r="C95" s="66" t="s">
        <v>5817</v>
      </c>
      <c r="D95" s="67">
        <v>1</v>
      </c>
      <c r="E95" s="68" t="s">
        <v>132</v>
      </c>
      <c r="F95" s="69">
        <v>32</v>
      </c>
      <c r="G95" s="66" t="s">
        <v>51</v>
      </c>
      <c r="H95" s="70"/>
      <c r="I95" s="71"/>
      <c r="J95" s="71"/>
      <c r="K95" s="35" t="s">
        <v>65</v>
      </c>
      <c r="L95" s="79">
        <v>95</v>
      </c>
      <c r="M95" s="79"/>
      <c r="N95" s="73"/>
      <c r="O95" s="90" t="s">
        <v>524</v>
      </c>
      <c r="P95" s="93">
        <v>44529.37684027778</v>
      </c>
      <c r="Q95" s="90" t="s">
        <v>561</v>
      </c>
      <c r="R95" s="90"/>
      <c r="S95" s="90"/>
      <c r="T95" s="90"/>
      <c r="U95" s="90"/>
      <c r="V95" s="96" t="str">
        <f>HYPERLINK("https://pbs.twimg.com/profile_images/1465587204839948289/mQoNZmYQ_normal.jpg")</f>
        <v>https://pbs.twimg.com/profile_images/1465587204839948289/mQoNZmYQ_normal.jpg</v>
      </c>
      <c r="W95" s="93">
        <v>44529.37684027778</v>
      </c>
      <c r="X95" s="100">
        <v>44529</v>
      </c>
      <c r="Y95" s="97" t="s">
        <v>761</v>
      </c>
      <c r="Z95" s="96" t="str">
        <f>HYPERLINK("https://twitter.com/finnelandia/status/1465244806033125377")</f>
        <v>https://twitter.com/finnelandia/status/1465244806033125377</v>
      </c>
      <c r="AA95" s="90"/>
      <c r="AB95" s="90"/>
      <c r="AC95" s="97" t="s">
        <v>1013</v>
      </c>
      <c r="AD95" s="97" t="s">
        <v>1244</v>
      </c>
      <c r="AE95" s="90" t="b">
        <v>0</v>
      </c>
      <c r="AF95" s="90">
        <v>0</v>
      </c>
      <c r="AG95" s="97" t="s">
        <v>1362</v>
      </c>
      <c r="AH95" s="90" t="b">
        <v>0</v>
      </c>
      <c r="AI95" s="90" t="s">
        <v>1442</v>
      </c>
      <c r="AJ95" s="90"/>
      <c r="AK95" s="97" t="s">
        <v>1338</v>
      </c>
      <c r="AL95" s="90" t="b">
        <v>0</v>
      </c>
      <c r="AM95" s="90">
        <v>0</v>
      </c>
      <c r="AN95" s="97" t="s">
        <v>1338</v>
      </c>
      <c r="AO95" s="97" t="s">
        <v>1452</v>
      </c>
      <c r="AP95" s="90" t="b">
        <v>0</v>
      </c>
      <c r="AQ95" s="97" t="s">
        <v>1244</v>
      </c>
      <c r="AR95" s="90" t="s">
        <v>187</v>
      </c>
      <c r="AS95" s="90">
        <v>0</v>
      </c>
      <c r="AT95" s="90">
        <v>0</v>
      </c>
      <c r="AU95" s="90"/>
      <c r="AV95" s="90"/>
      <c r="AW95" s="90"/>
      <c r="AX95" s="90"/>
      <c r="AY95" s="90"/>
      <c r="AZ95" s="90"/>
      <c r="BA95" s="90"/>
      <c r="BB95" s="90"/>
      <c r="BC95">
        <v>1</v>
      </c>
      <c r="BD95" s="89" t="str">
        <f>REPLACE(INDEX(GroupVertices[Group],MATCH(Edges[[#This Row],[Vertex 1]],GroupVertices[Vertex],0)),1,1,"")</f>
        <v>19</v>
      </c>
      <c r="BE95" s="89" t="str">
        <f>REPLACE(INDEX(GroupVertices[Group],MATCH(Edges[[#This Row],[Vertex 2]],GroupVertices[Vertex],0)),1,1,"")</f>
        <v>19</v>
      </c>
      <c r="BF95" s="49"/>
      <c r="BG95" s="50"/>
      <c r="BH95" s="49"/>
      <c r="BI95" s="50"/>
      <c r="BJ95" s="49"/>
      <c r="BK95" s="50"/>
      <c r="BL95" s="49"/>
      <c r="BM95" s="50"/>
      <c r="BN95" s="49"/>
    </row>
    <row r="96" spans="1:66" ht="15">
      <c r="A96" s="65" t="s">
        <v>263</v>
      </c>
      <c r="B96" s="65" t="s">
        <v>411</v>
      </c>
      <c r="C96" s="66" t="s">
        <v>5817</v>
      </c>
      <c r="D96" s="67">
        <v>1</v>
      </c>
      <c r="E96" s="68" t="s">
        <v>132</v>
      </c>
      <c r="F96" s="69">
        <v>32</v>
      </c>
      <c r="G96" s="66" t="s">
        <v>51</v>
      </c>
      <c r="H96" s="70"/>
      <c r="I96" s="71"/>
      <c r="J96" s="71"/>
      <c r="K96" s="35" t="s">
        <v>65</v>
      </c>
      <c r="L96" s="79">
        <v>96</v>
      </c>
      <c r="M96" s="79"/>
      <c r="N96" s="73"/>
      <c r="O96" s="90" t="s">
        <v>523</v>
      </c>
      <c r="P96" s="93">
        <v>44529.37684027778</v>
      </c>
      <c r="Q96" s="90" t="s">
        <v>561</v>
      </c>
      <c r="R96" s="90"/>
      <c r="S96" s="90"/>
      <c r="T96" s="90"/>
      <c r="U96" s="90"/>
      <c r="V96" s="96" t="str">
        <f>HYPERLINK("https://pbs.twimg.com/profile_images/1465587204839948289/mQoNZmYQ_normal.jpg")</f>
        <v>https://pbs.twimg.com/profile_images/1465587204839948289/mQoNZmYQ_normal.jpg</v>
      </c>
      <c r="W96" s="93">
        <v>44529.37684027778</v>
      </c>
      <c r="X96" s="100">
        <v>44529</v>
      </c>
      <c r="Y96" s="97" t="s">
        <v>761</v>
      </c>
      <c r="Z96" s="96" t="str">
        <f>HYPERLINK("https://twitter.com/finnelandia/status/1465244806033125377")</f>
        <v>https://twitter.com/finnelandia/status/1465244806033125377</v>
      </c>
      <c r="AA96" s="90"/>
      <c r="AB96" s="90"/>
      <c r="AC96" s="97" t="s">
        <v>1013</v>
      </c>
      <c r="AD96" s="97" t="s">
        <v>1244</v>
      </c>
      <c r="AE96" s="90" t="b">
        <v>0</v>
      </c>
      <c r="AF96" s="90">
        <v>0</v>
      </c>
      <c r="AG96" s="97" t="s">
        <v>1362</v>
      </c>
      <c r="AH96" s="90" t="b">
        <v>0</v>
      </c>
      <c r="AI96" s="90" t="s">
        <v>1442</v>
      </c>
      <c r="AJ96" s="90"/>
      <c r="AK96" s="97" t="s">
        <v>1338</v>
      </c>
      <c r="AL96" s="90" t="b">
        <v>0</v>
      </c>
      <c r="AM96" s="90">
        <v>0</v>
      </c>
      <c r="AN96" s="97" t="s">
        <v>1338</v>
      </c>
      <c r="AO96" s="97" t="s">
        <v>1452</v>
      </c>
      <c r="AP96" s="90" t="b">
        <v>0</v>
      </c>
      <c r="AQ96" s="97" t="s">
        <v>1244</v>
      </c>
      <c r="AR96" s="90" t="s">
        <v>187</v>
      </c>
      <c r="AS96" s="90">
        <v>0</v>
      </c>
      <c r="AT96" s="90">
        <v>0</v>
      </c>
      <c r="AU96" s="90"/>
      <c r="AV96" s="90"/>
      <c r="AW96" s="90"/>
      <c r="AX96" s="90"/>
      <c r="AY96" s="90"/>
      <c r="AZ96" s="90"/>
      <c r="BA96" s="90"/>
      <c r="BB96" s="90"/>
      <c r="BC96">
        <v>1</v>
      </c>
      <c r="BD96" s="89" t="str">
        <f>REPLACE(INDEX(GroupVertices[Group],MATCH(Edges[[#This Row],[Vertex 1]],GroupVertices[Vertex],0)),1,1,"")</f>
        <v>19</v>
      </c>
      <c r="BE96" s="89" t="str">
        <f>REPLACE(INDEX(GroupVertices[Group],MATCH(Edges[[#This Row],[Vertex 2]],GroupVertices[Vertex],0)),1,1,"")</f>
        <v>19</v>
      </c>
      <c r="BF96" s="49">
        <v>0</v>
      </c>
      <c r="BG96" s="50">
        <v>0</v>
      </c>
      <c r="BH96" s="49">
        <v>0</v>
      </c>
      <c r="BI96" s="50">
        <v>0</v>
      </c>
      <c r="BJ96" s="49">
        <v>0</v>
      </c>
      <c r="BK96" s="50">
        <v>0</v>
      </c>
      <c r="BL96" s="49">
        <v>16</v>
      </c>
      <c r="BM96" s="50">
        <v>100</v>
      </c>
      <c r="BN96" s="49">
        <v>16</v>
      </c>
    </row>
    <row r="97" spans="1:66" ht="15">
      <c r="A97" s="65" t="s">
        <v>264</v>
      </c>
      <c r="B97" s="65" t="s">
        <v>412</v>
      </c>
      <c r="C97" s="66" t="s">
        <v>5818</v>
      </c>
      <c r="D97" s="67">
        <v>1</v>
      </c>
      <c r="E97" s="68" t="s">
        <v>132</v>
      </c>
      <c r="F97" s="69">
        <v>32</v>
      </c>
      <c r="G97" s="66" t="s">
        <v>51</v>
      </c>
      <c r="H97" s="70"/>
      <c r="I97" s="71"/>
      <c r="J97" s="71"/>
      <c r="K97" s="35" t="s">
        <v>65</v>
      </c>
      <c r="L97" s="79">
        <v>97</v>
      </c>
      <c r="M97" s="79"/>
      <c r="N97" s="73"/>
      <c r="O97" s="90" t="s">
        <v>523</v>
      </c>
      <c r="P97" s="93">
        <v>44529.55434027778</v>
      </c>
      <c r="Q97" s="90" t="s">
        <v>562</v>
      </c>
      <c r="R97" s="90"/>
      <c r="S97" s="90"/>
      <c r="T97" s="90"/>
      <c r="U97" s="90"/>
      <c r="V97" s="96" t="str">
        <f>HYPERLINK("https://pbs.twimg.com/profile_images/1418608627049537536/Iz1gOS4q_normal.jpg")</f>
        <v>https://pbs.twimg.com/profile_images/1418608627049537536/Iz1gOS4q_normal.jpg</v>
      </c>
      <c r="W97" s="93">
        <v>44529.55434027778</v>
      </c>
      <c r="X97" s="100">
        <v>44529</v>
      </c>
      <c r="Y97" s="97" t="s">
        <v>762</v>
      </c>
      <c r="Z97" s="96" t="str">
        <f>HYPERLINK("https://twitter.com/taskinenvili/status/1465309130193879053")</f>
        <v>https://twitter.com/taskinenvili/status/1465309130193879053</v>
      </c>
      <c r="AA97" s="90"/>
      <c r="AB97" s="90"/>
      <c r="AC97" s="97" t="s">
        <v>1014</v>
      </c>
      <c r="AD97" s="97" t="s">
        <v>1245</v>
      </c>
      <c r="AE97" s="90" t="b">
        <v>0</v>
      </c>
      <c r="AF97" s="90">
        <v>0</v>
      </c>
      <c r="AG97" s="97" t="s">
        <v>1363</v>
      </c>
      <c r="AH97" s="90" t="b">
        <v>0</v>
      </c>
      <c r="AI97" s="90" t="s">
        <v>1442</v>
      </c>
      <c r="AJ97" s="90"/>
      <c r="AK97" s="97" t="s">
        <v>1338</v>
      </c>
      <c r="AL97" s="90" t="b">
        <v>0</v>
      </c>
      <c r="AM97" s="90">
        <v>0</v>
      </c>
      <c r="AN97" s="97" t="s">
        <v>1338</v>
      </c>
      <c r="AO97" s="97" t="s">
        <v>1452</v>
      </c>
      <c r="AP97" s="90" t="b">
        <v>0</v>
      </c>
      <c r="AQ97" s="97" t="s">
        <v>1245</v>
      </c>
      <c r="AR97" s="90" t="s">
        <v>187</v>
      </c>
      <c r="AS97" s="90">
        <v>0</v>
      </c>
      <c r="AT97" s="90">
        <v>0</v>
      </c>
      <c r="AU97" s="90"/>
      <c r="AV97" s="90"/>
      <c r="AW97" s="90"/>
      <c r="AX97" s="90"/>
      <c r="AY97" s="90"/>
      <c r="AZ97" s="90"/>
      <c r="BA97" s="90"/>
      <c r="BB97" s="90"/>
      <c r="BC97">
        <v>2</v>
      </c>
      <c r="BD97" s="89" t="str">
        <f>REPLACE(INDEX(GroupVertices[Group],MATCH(Edges[[#This Row],[Vertex 1]],GroupVertices[Vertex],0)),1,1,"")</f>
        <v>25</v>
      </c>
      <c r="BE97" s="89" t="str">
        <f>REPLACE(INDEX(GroupVertices[Group],MATCH(Edges[[#This Row],[Vertex 2]],GroupVertices[Vertex],0)),1,1,"")</f>
        <v>25</v>
      </c>
      <c r="BF97" s="49">
        <v>0</v>
      </c>
      <c r="BG97" s="50">
        <v>0</v>
      </c>
      <c r="BH97" s="49">
        <v>0</v>
      </c>
      <c r="BI97" s="50">
        <v>0</v>
      </c>
      <c r="BJ97" s="49">
        <v>0</v>
      </c>
      <c r="BK97" s="50">
        <v>0</v>
      </c>
      <c r="BL97" s="49">
        <v>21</v>
      </c>
      <c r="BM97" s="50">
        <v>100</v>
      </c>
      <c r="BN97" s="49">
        <v>21</v>
      </c>
    </row>
    <row r="98" spans="1:66" ht="15">
      <c r="A98" s="65" t="s">
        <v>264</v>
      </c>
      <c r="B98" s="65" t="s">
        <v>412</v>
      </c>
      <c r="C98" s="66" t="s">
        <v>5818</v>
      </c>
      <c r="D98" s="67">
        <v>1</v>
      </c>
      <c r="E98" s="68" t="s">
        <v>132</v>
      </c>
      <c r="F98" s="69">
        <v>32</v>
      </c>
      <c r="G98" s="66" t="s">
        <v>51</v>
      </c>
      <c r="H98" s="70"/>
      <c r="I98" s="71"/>
      <c r="J98" s="71"/>
      <c r="K98" s="35" t="s">
        <v>65</v>
      </c>
      <c r="L98" s="79">
        <v>98</v>
      </c>
      <c r="M98" s="79"/>
      <c r="N98" s="73"/>
      <c r="O98" s="90" t="s">
        <v>523</v>
      </c>
      <c r="P98" s="93">
        <v>44529.55966435185</v>
      </c>
      <c r="Q98" s="90" t="s">
        <v>563</v>
      </c>
      <c r="R98" s="90"/>
      <c r="S98" s="90"/>
      <c r="T98" s="90"/>
      <c r="U98" s="90"/>
      <c r="V98" s="96" t="str">
        <f>HYPERLINK("https://pbs.twimg.com/profile_images/1418608627049537536/Iz1gOS4q_normal.jpg")</f>
        <v>https://pbs.twimg.com/profile_images/1418608627049537536/Iz1gOS4q_normal.jpg</v>
      </c>
      <c r="W98" s="93">
        <v>44529.55966435185</v>
      </c>
      <c r="X98" s="100">
        <v>44529</v>
      </c>
      <c r="Y98" s="97" t="s">
        <v>763</v>
      </c>
      <c r="Z98" s="96" t="str">
        <f>HYPERLINK("https://twitter.com/taskinenvili/status/1465311060743929859")</f>
        <v>https://twitter.com/taskinenvili/status/1465311060743929859</v>
      </c>
      <c r="AA98" s="90"/>
      <c r="AB98" s="90"/>
      <c r="AC98" s="97" t="s">
        <v>1015</v>
      </c>
      <c r="AD98" s="97" t="s">
        <v>1246</v>
      </c>
      <c r="AE98" s="90" t="b">
        <v>0</v>
      </c>
      <c r="AF98" s="90">
        <v>0</v>
      </c>
      <c r="AG98" s="97" t="s">
        <v>1363</v>
      </c>
      <c r="AH98" s="90" t="b">
        <v>0</v>
      </c>
      <c r="AI98" s="90" t="s">
        <v>1442</v>
      </c>
      <c r="AJ98" s="90"/>
      <c r="AK98" s="97" t="s">
        <v>1338</v>
      </c>
      <c r="AL98" s="90" t="b">
        <v>0</v>
      </c>
      <c r="AM98" s="90">
        <v>0</v>
      </c>
      <c r="AN98" s="97" t="s">
        <v>1338</v>
      </c>
      <c r="AO98" s="97" t="s">
        <v>1452</v>
      </c>
      <c r="AP98" s="90" t="b">
        <v>0</v>
      </c>
      <c r="AQ98" s="97" t="s">
        <v>1246</v>
      </c>
      <c r="AR98" s="90" t="s">
        <v>187</v>
      </c>
      <c r="AS98" s="90">
        <v>0</v>
      </c>
      <c r="AT98" s="90">
        <v>0</v>
      </c>
      <c r="AU98" s="90"/>
      <c r="AV98" s="90"/>
      <c r="AW98" s="90"/>
      <c r="AX98" s="90"/>
      <c r="AY98" s="90"/>
      <c r="AZ98" s="90"/>
      <c r="BA98" s="90"/>
      <c r="BB98" s="90"/>
      <c r="BC98">
        <v>2</v>
      </c>
      <c r="BD98" s="89" t="str">
        <f>REPLACE(INDEX(GroupVertices[Group],MATCH(Edges[[#This Row],[Vertex 1]],GroupVertices[Vertex],0)),1,1,"")</f>
        <v>25</v>
      </c>
      <c r="BE98" s="89" t="str">
        <f>REPLACE(INDEX(GroupVertices[Group],MATCH(Edges[[#This Row],[Vertex 2]],GroupVertices[Vertex],0)),1,1,"")</f>
        <v>25</v>
      </c>
      <c r="BF98" s="49">
        <v>0</v>
      </c>
      <c r="BG98" s="50">
        <v>0</v>
      </c>
      <c r="BH98" s="49">
        <v>0</v>
      </c>
      <c r="BI98" s="50">
        <v>0</v>
      </c>
      <c r="BJ98" s="49">
        <v>0</v>
      </c>
      <c r="BK98" s="50">
        <v>0</v>
      </c>
      <c r="BL98" s="49">
        <v>33</v>
      </c>
      <c r="BM98" s="50">
        <v>100</v>
      </c>
      <c r="BN98" s="49">
        <v>33</v>
      </c>
    </row>
    <row r="99" spans="1:66" ht="15">
      <c r="A99" s="65" t="s">
        <v>265</v>
      </c>
      <c r="B99" s="65" t="s">
        <v>413</v>
      </c>
      <c r="C99" s="66" t="s">
        <v>5817</v>
      </c>
      <c r="D99" s="67">
        <v>1</v>
      </c>
      <c r="E99" s="68" t="s">
        <v>132</v>
      </c>
      <c r="F99" s="69">
        <v>32</v>
      </c>
      <c r="G99" s="66" t="s">
        <v>51</v>
      </c>
      <c r="H99" s="70"/>
      <c r="I99" s="71"/>
      <c r="J99" s="71"/>
      <c r="K99" s="35" t="s">
        <v>65</v>
      </c>
      <c r="L99" s="79">
        <v>99</v>
      </c>
      <c r="M99" s="79"/>
      <c r="N99" s="73"/>
      <c r="O99" s="90" t="s">
        <v>524</v>
      </c>
      <c r="P99" s="93">
        <v>44525.81524305556</v>
      </c>
      <c r="Q99" s="90" t="s">
        <v>564</v>
      </c>
      <c r="R99" s="90"/>
      <c r="S99" s="90"/>
      <c r="T99" s="90"/>
      <c r="U99" s="90"/>
      <c r="V99" s="96" t="str">
        <f>HYPERLINK("https://pbs.twimg.com/profile_images/1439229566271250434/4kqPuLJk_normal.png")</f>
        <v>https://pbs.twimg.com/profile_images/1439229566271250434/4kqPuLJk_normal.png</v>
      </c>
      <c r="W99" s="93">
        <v>44525.81524305556</v>
      </c>
      <c r="X99" s="100">
        <v>44525</v>
      </c>
      <c r="Y99" s="97" t="s">
        <v>764</v>
      </c>
      <c r="Z99" s="96" t="str">
        <f>HYPERLINK("https://twitter.com/foliohattu5g/status/1463954125218013187")</f>
        <v>https://twitter.com/foliohattu5g/status/1463954125218013187</v>
      </c>
      <c r="AA99" s="90"/>
      <c r="AB99" s="90"/>
      <c r="AC99" s="97" t="s">
        <v>1016</v>
      </c>
      <c r="AD99" s="97" t="s">
        <v>1247</v>
      </c>
      <c r="AE99" s="90" t="b">
        <v>0</v>
      </c>
      <c r="AF99" s="90">
        <v>0</v>
      </c>
      <c r="AG99" s="97" t="s">
        <v>1364</v>
      </c>
      <c r="AH99" s="90" t="b">
        <v>0</v>
      </c>
      <c r="AI99" s="90" t="s">
        <v>1442</v>
      </c>
      <c r="AJ99" s="90"/>
      <c r="AK99" s="97" t="s">
        <v>1338</v>
      </c>
      <c r="AL99" s="90" t="b">
        <v>0</v>
      </c>
      <c r="AM99" s="90">
        <v>0</v>
      </c>
      <c r="AN99" s="97" t="s">
        <v>1338</v>
      </c>
      <c r="AO99" s="97" t="s">
        <v>1450</v>
      </c>
      <c r="AP99" s="90" t="b">
        <v>0</v>
      </c>
      <c r="AQ99" s="97" t="s">
        <v>1247</v>
      </c>
      <c r="AR99" s="90" t="s">
        <v>187</v>
      </c>
      <c r="AS99" s="90">
        <v>0</v>
      </c>
      <c r="AT99" s="90">
        <v>0</v>
      </c>
      <c r="AU99" s="90"/>
      <c r="AV99" s="90"/>
      <c r="AW99" s="90"/>
      <c r="AX99" s="90"/>
      <c r="AY99" s="90"/>
      <c r="AZ99" s="90"/>
      <c r="BA99" s="90"/>
      <c r="BB99" s="90"/>
      <c r="BC99">
        <v>1</v>
      </c>
      <c r="BD99" s="89" t="str">
        <f>REPLACE(INDEX(GroupVertices[Group],MATCH(Edges[[#This Row],[Vertex 1]],GroupVertices[Vertex],0)),1,1,"")</f>
        <v>8</v>
      </c>
      <c r="BE99" s="89" t="str">
        <f>REPLACE(INDEX(GroupVertices[Group],MATCH(Edges[[#This Row],[Vertex 2]],GroupVertices[Vertex],0)),1,1,"")</f>
        <v>8</v>
      </c>
      <c r="BF99" s="49"/>
      <c r="BG99" s="50"/>
      <c r="BH99" s="49"/>
      <c r="BI99" s="50"/>
      <c r="BJ99" s="49"/>
      <c r="BK99" s="50"/>
      <c r="BL99" s="49"/>
      <c r="BM99" s="50"/>
      <c r="BN99" s="49"/>
    </row>
    <row r="100" spans="1:66" ht="15">
      <c r="A100" s="65" t="s">
        <v>265</v>
      </c>
      <c r="B100" s="65" t="s">
        <v>414</v>
      </c>
      <c r="C100" s="66" t="s">
        <v>5817</v>
      </c>
      <c r="D100" s="67">
        <v>1</v>
      </c>
      <c r="E100" s="68" t="s">
        <v>132</v>
      </c>
      <c r="F100" s="69">
        <v>32</v>
      </c>
      <c r="G100" s="66" t="s">
        <v>51</v>
      </c>
      <c r="H100" s="70"/>
      <c r="I100" s="71"/>
      <c r="J100" s="71"/>
      <c r="K100" s="35" t="s">
        <v>65</v>
      </c>
      <c r="L100" s="79">
        <v>100</v>
      </c>
      <c r="M100" s="79"/>
      <c r="N100" s="73"/>
      <c r="O100" s="90" t="s">
        <v>523</v>
      </c>
      <c r="P100" s="93">
        <v>44525.81524305556</v>
      </c>
      <c r="Q100" s="90" t="s">
        <v>564</v>
      </c>
      <c r="R100" s="90"/>
      <c r="S100" s="90"/>
      <c r="T100" s="90"/>
      <c r="U100" s="90"/>
      <c r="V100" s="96" t="str">
        <f>HYPERLINK("https://pbs.twimg.com/profile_images/1439229566271250434/4kqPuLJk_normal.png")</f>
        <v>https://pbs.twimg.com/profile_images/1439229566271250434/4kqPuLJk_normal.png</v>
      </c>
      <c r="W100" s="93">
        <v>44525.81524305556</v>
      </c>
      <c r="X100" s="100">
        <v>44525</v>
      </c>
      <c r="Y100" s="97" t="s">
        <v>764</v>
      </c>
      <c r="Z100" s="96" t="str">
        <f>HYPERLINK("https://twitter.com/foliohattu5g/status/1463954125218013187")</f>
        <v>https://twitter.com/foliohattu5g/status/1463954125218013187</v>
      </c>
      <c r="AA100" s="90"/>
      <c r="AB100" s="90"/>
      <c r="AC100" s="97" t="s">
        <v>1016</v>
      </c>
      <c r="AD100" s="97" t="s">
        <v>1247</v>
      </c>
      <c r="AE100" s="90" t="b">
        <v>0</v>
      </c>
      <c r="AF100" s="90">
        <v>0</v>
      </c>
      <c r="AG100" s="97" t="s">
        <v>1364</v>
      </c>
      <c r="AH100" s="90" t="b">
        <v>0</v>
      </c>
      <c r="AI100" s="90" t="s">
        <v>1442</v>
      </c>
      <c r="AJ100" s="90"/>
      <c r="AK100" s="97" t="s">
        <v>1338</v>
      </c>
      <c r="AL100" s="90" t="b">
        <v>0</v>
      </c>
      <c r="AM100" s="90">
        <v>0</v>
      </c>
      <c r="AN100" s="97" t="s">
        <v>1338</v>
      </c>
      <c r="AO100" s="97" t="s">
        <v>1450</v>
      </c>
      <c r="AP100" s="90" t="b">
        <v>0</v>
      </c>
      <c r="AQ100" s="97" t="s">
        <v>1247</v>
      </c>
      <c r="AR100" s="90" t="s">
        <v>187</v>
      </c>
      <c r="AS100" s="90">
        <v>0</v>
      </c>
      <c r="AT100" s="90">
        <v>0</v>
      </c>
      <c r="AU100" s="90"/>
      <c r="AV100" s="90"/>
      <c r="AW100" s="90"/>
      <c r="AX100" s="90"/>
      <c r="AY100" s="90"/>
      <c r="AZ100" s="90"/>
      <c r="BA100" s="90"/>
      <c r="BB100" s="90"/>
      <c r="BC100">
        <v>1</v>
      </c>
      <c r="BD100" s="89" t="str">
        <f>REPLACE(INDEX(GroupVertices[Group],MATCH(Edges[[#This Row],[Vertex 1]],GroupVertices[Vertex],0)),1,1,"")</f>
        <v>8</v>
      </c>
      <c r="BE100" s="89" t="str">
        <f>REPLACE(INDEX(GroupVertices[Group],MATCH(Edges[[#This Row],[Vertex 2]],GroupVertices[Vertex],0)),1,1,"")</f>
        <v>8</v>
      </c>
      <c r="BF100" s="49"/>
      <c r="BG100" s="50"/>
      <c r="BH100" s="49"/>
      <c r="BI100" s="50"/>
      <c r="BJ100" s="49"/>
      <c r="BK100" s="50"/>
      <c r="BL100" s="49"/>
      <c r="BM100" s="50"/>
      <c r="BN100" s="49"/>
    </row>
    <row r="101" spans="1:66" ht="15">
      <c r="A101" s="65" t="s">
        <v>265</v>
      </c>
      <c r="B101" s="65" t="s">
        <v>415</v>
      </c>
      <c r="C101" s="66" t="s">
        <v>5817</v>
      </c>
      <c r="D101" s="67">
        <v>1</v>
      </c>
      <c r="E101" s="68" t="s">
        <v>132</v>
      </c>
      <c r="F101" s="69">
        <v>32</v>
      </c>
      <c r="G101" s="66" t="s">
        <v>51</v>
      </c>
      <c r="H101" s="70"/>
      <c r="I101" s="71"/>
      <c r="J101" s="71"/>
      <c r="K101" s="35" t="s">
        <v>65</v>
      </c>
      <c r="L101" s="79">
        <v>101</v>
      </c>
      <c r="M101" s="79"/>
      <c r="N101" s="73"/>
      <c r="O101" s="90" t="s">
        <v>524</v>
      </c>
      <c r="P101" s="93">
        <v>44527.61717592592</v>
      </c>
      <c r="Q101" s="90" t="s">
        <v>565</v>
      </c>
      <c r="R101" s="90"/>
      <c r="S101" s="90"/>
      <c r="T101" s="90"/>
      <c r="U101" s="90"/>
      <c r="V101" s="96" t="str">
        <f>HYPERLINK("https://pbs.twimg.com/profile_images/1439229566271250434/4kqPuLJk_normal.png")</f>
        <v>https://pbs.twimg.com/profile_images/1439229566271250434/4kqPuLJk_normal.png</v>
      </c>
      <c r="W101" s="93">
        <v>44527.61717592592</v>
      </c>
      <c r="X101" s="100">
        <v>44527</v>
      </c>
      <c r="Y101" s="97" t="s">
        <v>765</v>
      </c>
      <c r="Z101" s="96" t="str">
        <f>HYPERLINK("https://twitter.com/foliohattu5g/status/1464607126526078977")</f>
        <v>https://twitter.com/foliohattu5g/status/1464607126526078977</v>
      </c>
      <c r="AA101" s="90"/>
      <c r="AB101" s="90"/>
      <c r="AC101" s="97" t="s">
        <v>1017</v>
      </c>
      <c r="AD101" s="97" t="s">
        <v>1248</v>
      </c>
      <c r="AE101" s="90" t="b">
        <v>0</v>
      </c>
      <c r="AF101" s="90">
        <v>4</v>
      </c>
      <c r="AG101" s="97" t="s">
        <v>1365</v>
      </c>
      <c r="AH101" s="90" t="b">
        <v>0</v>
      </c>
      <c r="AI101" s="90" t="s">
        <v>1442</v>
      </c>
      <c r="AJ101" s="90"/>
      <c r="AK101" s="97" t="s">
        <v>1338</v>
      </c>
      <c r="AL101" s="90" t="b">
        <v>0</v>
      </c>
      <c r="AM101" s="90">
        <v>0</v>
      </c>
      <c r="AN101" s="97" t="s">
        <v>1338</v>
      </c>
      <c r="AO101" s="97" t="s">
        <v>1450</v>
      </c>
      <c r="AP101" s="90" t="b">
        <v>0</v>
      </c>
      <c r="AQ101" s="97" t="s">
        <v>1248</v>
      </c>
      <c r="AR101" s="90" t="s">
        <v>187</v>
      </c>
      <c r="AS101" s="90">
        <v>0</v>
      </c>
      <c r="AT101" s="90">
        <v>0</v>
      </c>
      <c r="AU101" s="90"/>
      <c r="AV101" s="90"/>
      <c r="AW101" s="90"/>
      <c r="AX101" s="90"/>
      <c r="AY101" s="90"/>
      <c r="AZ101" s="90"/>
      <c r="BA101" s="90"/>
      <c r="BB101" s="90"/>
      <c r="BC101">
        <v>1</v>
      </c>
      <c r="BD101" s="89" t="str">
        <f>REPLACE(INDEX(GroupVertices[Group],MATCH(Edges[[#This Row],[Vertex 1]],GroupVertices[Vertex],0)),1,1,"")</f>
        <v>8</v>
      </c>
      <c r="BE101" s="89" t="str">
        <f>REPLACE(INDEX(GroupVertices[Group],MATCH(Edges[[#This Row],[Vertex 2]],GroupVertices[Vertex],0)),1,1,"")</f>
        <v>8</v>
      </c>
      <c r="BF101" s="49"/>
      <c r="BG101" s="50"/>
      <c r="BH101" s="49"/>
      <c r="BI101" s="50"/>
      <c r="BJ101" s="49"/>
      <c r="BK101" s="50"/>
      <c r="BL101" s="49"/>
      <c r="BM101" s="50"/>
      <c r="BN101" s="49"/>
    </row>
    <row r="102" spans="1:66" ht="15">
      <c r="A102" s="65" t="s">
        <v>265</v>
      </c>
      <c r="B102" s="65" t="s">
        <v>416</v>
      </c>
      <c r="C102" s="66" t="s">
        <v>5817</v>
      </c>
      <c r="D102" s="67">
        <v>1</v>
      </c>
      <c r="E102" s="68" t="s">
        <v>132</v>
      </c>
      <c r="F102" s="69">
        <v>32</v>
      </c>
      <c r="G102" s="66" t="s">
        <v>51</v>
      </c>
      <c r="H102" s="70"/>
      <c r="I102" s="71"/>
      <c r="J102" s="71"/>
      <c r="K102" s="35" t="s">
        <v>65</v>
      </c>
      <c r="L102" s="79">
        <v>102</v>
      </c>
      <c r="M102" s="79"/>
      <c r="N102" s="73"/>
      <c r="O102" s="90" t="s">
        <v>524</v>
      </c>
      <c r="P102" s="93">
        <v>44527.61717592592</v>
      </c>
      <c r="Q102" s="90" t="s">
        <v>565</v>
      </c>
      <c r="R102" s="90"/>
      <c r="S102" s="90"/>
      <c r="T102" s="90"/>
      <c r="U102" s="90"/>
      <c r="V102" s="96" t="str">
        <f>HYPERLINK("https://pbs.twimg.com/profile_images/1439229566271250434/4kqPuLJk_normal.png")</f>
        <v>https://pbs.twimg.com/profile_images/1439229566271250434/4kqPuLJk_normal.png</v>
      </c>
      <c r="W102" s="93">
        <v>44527.61717592592</v>
      </c>
      <c r="X102" s="100">
        <v>44527</v>
      </c>
      <c r="Y102" s="97" t="s">
        <v>765</v>
      </c>
      <c r="Z102" s="96" t="str">
        <f>HYPERLINK("https://twitter.com/foliohattu5g/status/1464607126526078977")</f>
        <v>https://twitter.com/foliohattu5g/status/1464607126526078977</v>
      </c>
      <c r="AA102" s="90"/>
      <c r="AB102" s="90"/>
      <c r="AC102" s="97" t="s">
        <v>1017</v>
      </c>
      <c r="AD102" s="97" t="s">
        <v>1248</v>
      </c>
      <c r="AE102" s="90" t="b">
        <v>0</v>
      </c>
      <c r="AF102" s="90">
        <v>4</v>
      </c>
      <c r="AG102" s="97" t="s">
        <v>1365</v>
      </c>
      <c r="AH102" s="90" t="b">
        <v>0</v>
      </c>
      <c r="AI102" s="90" t="s">
        <v>1442</v>
      </c>
      <c r="AJ102" s="90"/>
      <c r="AK102" s="97" t="s">
        <v>1338</v>
      </c>
      <c r="AL102" s="90" t="b">
        <v>0</v>
      </c>
      <c r="AM102" s="90">
        <v>0</v>
      </c>
      <c r="AN102" s="97" t="s">
        <v>1338</v>
      </c>
      <c r="AO102" s="97" t="s">
        <v>1450</v>
      </c>
      <c r="AP102" s="90" t="b">
        <v>0</v>
      </c>
      <c r="AQ102" s="97" t="s">
        <v>1248</v>
      </c>
      <c r="AR102" s="90" t="s">
        <v>187</v>
      </c>
      <c r="AS102" s="90">
        <v>0</v>
      </c>
      <c r="AT102" s="90">
        <v>0</v>
      </c>
      <c r="AU102" s="90"/>
      <c r="AV102" s="90"/>
      <c r="AW102" s="90"/>
      <c r="AX102" s="90"/>
      <c r="AY102" s="90"/>
      <c r="AZ102" s="90"/>
      <c r="BA102" s="90"/>
      <c r="BB102" s="90"/>
      <c r="BC102">
        <v>1</v>
      </c>
      <c r="BD102" s="89" t="str">
        <f>REPLACE(INDEX(GroupVertices[Group],MATCH(Edges[[#This Row],[Vertex 1]],GroupVertices[Vertex],0)),1,1,"")</f>
        <v>8</v>
      </c>
      <c r="BE102" s="89" t="str">
        <f>REPLACE(INDEX(GroupVertices[Group],MATCH(Edges[[#This Row],[Vertex 2]],GroupVertices[Vertex],0)),1,1,"")</f>
        <v>8</v>
      </c>
      <c r="BF102" s="49"/>
      <c r="BG102" s="50"/>
      <c r="BH102" s="49"/>
      <c r="BI102" s="50"/>
      <c r="BJ102" s="49"/>
      <c r="BK102" s="50"/>
      <c r="BL102" s="49"/>
      <c r="BM102" s="50"/>
      <c r="BN102" s="49"/>
    </row>
    <row r="103" spans="1:66" ht="15">
      <c r="A103" s="65" t="s">
        <v>265</v>
      </c>
      <c r="B103" s="65" t="s">
        <v>417</v>
      </c>
      <c r="C103" s="66" t="s">
        <v>5817</v>
      </c>
      <c r="D103" s="67">
        <v>1</v>
      </c>
      <c r="E103" s="68" t="s">
        <v>132</v>
      </c>
      <c r="F103" s="69">
        <v>32</v>
      </c>
      <c r="G103" s="66" t="s">
        <v>51</v>
      </c>
      <c r="H103" s="70"/>
      <c r="I103" s="71"/>
      <c r="J103" s="71"/>
      <c r="K103" s="35" t="s">
        <v>65</v>
      </c>
      <c r="L103" s="79">
        <v>103</v>
      </c>
      <c r="M103" s="79"/>
      <c r="N103" s="73"/>
      <c r="O103" s="90" t="s">
        <v>524</v>
      </c>
      <c r="P103" s="93">
        <v>44527.61717592592</v>
      </c>
      <c r="Q103" s="90" t="s">
        <v>565</v>
      </c>
      <c r="R103" s="90"/>
      <c r="S103" s="90"/>
      <c r="T103" s="90"/>
      <c r="U103" s="90"/>
      <c r="V103" s="96" t="str">
        <f>HYPERLINK("https://pbs.twimg.com/profile_images/1439229566271250434/4kqPuLJk_normal.png")</f>
        <v>https://pbs.twimg.com/profile_images/1439229566271250434/4kqPuLJk_normal.png</v>
      </c>
      <c r="W103" s="93">
        <v>44527.61717592592</v>
      </c>
      <c r="X103" s="100">
        <v>44527</v>
      </c>
      <c r="Y103" s="97" t="s">
        <v>765</v>
      </c>
      <c r="Z103" s="96" t="str">
        <f>HYPERLINK("https://twitter.com/foliohattu5g/status/1464607126526078977")</f>
        <v>https://twitter.com/foliohattu5g/status/1464607126526078977</v>
      </c>
      <c r="AA103" s="90"/>
      <c r="AB103" s="90"/>
      <c r="AC103" s="97" t="s">
        <v>1017</v>
      </c>
      <c r="AD103" s="97" t="s">
        <v>1248</v>
      </c>
      <c r="AE103" s="90" t="b">
        <v>0</v>
      </c>
      <c r="AF103" s="90">
        <v>4</v>
      </c>
      <c r="AG103" s="97" t="s">
        <v>1365</v>
      </c>
      <c r="AH103" s="90" t="b">
        <v>0</v>
      </c>
      <c r="AI103" s="90" t="s">
        <v>1442</v>
      </c>
      <c r="AJ103" s="90"/>
      <c r="AK103" s="97" t="s">
        <v>1338</v>
      </c>
      <c r="AL103" s="90" t="b">
        <v>0</v>
      </c>
      <c r="AM103" s="90">
        <v>0</v>
      </c>
      <c r="AN103" s="97" t="s">
        <v>1338</v>
      </c>
      <c r="AO103" s="97" t="s">
        <v>1450</v>
      </c>
      <c r="AP103" s="90" t="b">
        <v>0</v>
      </c>
      <c r="AQ103" s="97" t="s">
        <v>1248</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8</v>
      </c>
      <c r="BE103" s="89" t="str">
        <f>REPLACE(INDEX(GroupVertices[Group],MATCH(Edges[[#This Row],[Vertex 2]],GroupVertices[Vertex],0)),1,1,"")</f>
        <v>8</v>
      </c>
      <c r="BF103" s="49"/>
      <c r="BG103" s="50"/>
      <c r="BH103" s="49"/>
      <c r="BI103" s="50"/>
      <c r="BJ103" s="49"/>
      <c r="BK103" s="50"/>
      <c r="BL103" s="49"/>
      <c r="BM103" s="50"/>
      <c r="BN103" s="49"/>
    </row>
    <row r="104" spans="1:66" ht="15">
      <c r="A104" s="65" t="s">
        <v>265</v>
      </c>
      <c r="B104" s="65" t="s">
        <v>418</v>
      </c>
      <c r="C104" s="66" t="s">
        <v>5817</v>
      </c>
      <c r="D104" s="67">
        <v>1</v>
      </c>
      <c r="E104" s="68" t="s">
        <v>132</v>
      </c>
      <c r="F104" s="69">
        <v>32</v>
      </c>
      <c r="G104" s="66" t="s">
        <v>51</v>
      </c>
      <c r="H104" s="70"/>
      <c r="I104" s="71"/>
      <c r="J104" s="71"/>
      <c r="K104" s="35" t="s">
        <v>65</v>
      </c>
      <c r="L104" s="79">
        <v>104</v>
      </c>
      <c r="M104" s="79"/>
      <c r="N104" s="73"/>
      <c r="O104" s="90" t="s">
        <v>523</v>
      </c>
      <c r="P104" s="93">
        <v>44527.61717592592</v>
      </c>
      <c r="Q104" s="90" t="s">
        <v>565</v>
      </c>
      <c r="R104" s="90"/>
      <c r="S104" s="90"/>
      <c r="T104" s="90"/>
      <c r="U104" s="90"/>
      <c r="V104" s="96" t="str">
        <f>HYPERLINK("https://pbs.twimg.com/profile_images/1439229566271250434/4kqPuLJk_normal.png")</f>
        <v>https://pbs.twimg.com/profile_images/1439229566271250434/4kqPuLJk_normal.png</v>
      </c>
      <c r="W104" s="93">
        <v>44527.61717592592</v>
      </c>
      <c r="X104" s="100">
        <v>44527</v>
      </c>
      <c r="Y104" s="97" t="s">
        <v>765</v>
      </c>
      <c r="Z104" s="96" t="str">
        <f>HYPERLINK("https://twitter.com/foliohattu5g/status/1464607126526078977")</f>
        <v>https://twitter.com/foliohattu5g/status/1464607126526078977</v>
      </c>
      <c r="AA104" s="90"/>
      <c r="AB104" s="90"/>
      <c r="AC104" s="97" t="s">
        <v>1017</v>
      </c>
      <c r="AD104" s="97" t="s">
        <v>1248</v>
      </c>
      <c r="AE104" s="90" t="b">
        <v>0</v>
      </c>
      <c r="AF104" s="90">
        <v>4</v>
      </c>
      <c r="AG104" s="97" t="s">
        <v>1365</v>
      </c>
      <c r="AH104" s="90" t="b">
        <v>0</v>
      </c>
      <c r="AI104" s="90" t="s">
        <v>1442</v>
      </c>
      <c r="AJ104" s="90"/>
      <c r="AK104" s="97" t="s">
        <v>1338</v>
      </c>
      <c r="AL104" s="90" t="b">
        <v>0</v>
      </c>
      <c r="AM104" s="90">
        <v>0</v>
      </c>
      <c r="AN104" s="97" t="s">
        <v>1338</v>
      </c>
      <c r="AO104" s="97" t="s">
        <v>1450</v>
      </c>
      <c r="AP104" s="90" t="b">
        <v>0</v>
      </c>
      <c r="AQ104" s="97" t="s">
        <v>1248</v>
      </c>
      <c r="AR104" s="90" t="s">
        <v>187</v>
      </c>
      <c r="AS104" s="90">
        <v>0</v>
      </c>
      <c r="AT104" s="90">
        <v>0</v>
      </c>
      <c r="AU104" s="90"/>
      <c r="AV104" s="90"/>
      <c r="AW104" s="90"/>
      <c r="AX104" s="90"/>
      <c r="AY104" s="90"/>
      <c r="AZ104" s="90"/>
      <c r="BA104" s="90"/>
      <c r="BB104" s="90"/>
      <c r="BC104">
        <v>1</v>
      </c>
      <c r="BD104" s="89" t="str">
        <f>REPLACE(INDEX(GroupVertices[Group],MATCH(Edges[[#This Row],[Vertex 1]],GroupVertices[Vertex],0)),1,1,"")</f>
        <v>8</v>
      </c>
      <c r="BE104" s="89" t="str">
        <f>REPLACE(INDEX(GroupVertices[Group],MATCH(Edges[[#This Row],[Vertex 2]],GroupVertices[Vertex],0)),1,1,"")</f>
        <v>8</v>
      </c>
      <c r="BF104" s="49">
        <v>0</v>
      </c>
      <c r="BG104" s="50">
        <v>0</v>
      </c>
      <c r="BH104" s="49">
        <v>0</v>
      </c>
      <c r="BI104" s="50">
        <v>0</v>
      </c>
      <c r="BJ104" s="49">
        <v>0</v>
      </c>
      <c r="BK104" s="50">
        <v>0</v>
      </c>
      <c r="BL104" s="49">
        <v>21</v>
      </c>
      <c r="BM104" s="50">
        <v>100</v>
      </c>
      <c r="BN104" s="49">
        <v>21</v>
      </c>
    </row>
    <row r="105" spans="1:66" ht="15">
      <c r="A105" s="65" t="s">
        <v>265</v>
      </c>
      <c r="B105" s="65" t="s">
        <v>419</v>
      </c>
      <c r="C105" s="66" t="s">
        <v>5817</v>
      </c>
      <c r="D105" s="67">
        <v>1</v>
      </c>
      <c r="E105" s="68" t="s">
        <v>132</v>
      </c>
      <c r="F105" s="69">
        <v>32</v>
      </c>
      <c r="G105" s="66" t="s">
        <v>51</v>
      </c>
      <c r="H105" s="70"/>
      <c r="I105" s="71"/>
      <c r="J105" s="71"/>
      <c r="K105" s="35" t="s">
        <v>65</v>
      </c>
      <c r="L105" s="79">
        <v>105</v>
      </c>
      <c r="M105" s="79"/>
      <c r="N105" s="73"/>
      <c r="O105" s="90" t="s">
        <v>524</v>
      </c>
      <c r="P105" s="93">
        <v>44529.80368055555</v>
      </c>
      <c r="Q105" s="90" t="s">
        <v>566</v>
      </c>
      <c r="R105" s="96" t="str">
        <f>HYPERLINK("https://c19early.com/")</f>
        <v>https://c19early.com/</v>
      </c>
      <c r="S105" s="90" t="s">
        <v>694</v>
      </c>
      <c r="T105" s="90"/>
      <c r="U105" s="90"/>
      <c r="V105" s="96" t="str">
        <f>HYPERLINK("https://pbs.twimg.com/profile_images/1439229566271250434/4kqPuLJk_normal.png")</f>
        <v>https://pbs.twimg.com/profile_images/1439229566271250434/4kqPuLJk_normal.png</v>
      </c>
      <c r="W105" s="93">
        <v>44529.80368055555</v>
      </c>
      <c r="X105" s="100">
        <v>44529</v>
      </c>
      <c r="Y105" s="97" t="s">
        <v>766</v>
      </c>
      <c r="Z105" s="96" t="str">
        <f>HYPERLINK("https://twitter.com/foliohattu5g/status/1465399486461755398")</f>
        <v>https://twitter.com/foliohattu5g/status/1465399486461755398</v>
      </c>
      <c r="AA105" s="90"/>
      <c r="AB105" s="90"/>
      <c r="AC105" s="97" t="s">
        <v>1018</v>
      </c>
      <c r="AD105" s="97" t="s">
        <v>1249</v>
      </c>
      <c r="AE105" s="90" t="b">
        <v>0</v>
      </c>
      <c r="AF105" s="90">
        <v>2</v>
      </c>
      <c r="AG105" s="97" t="s">
        <v>1366</v>
      </c>
      <c r="AH105" s="90" t="b">
        <v>0</v>
      </c>
      <c r="AI105" s="90" t="s">
        <v>1442</v>
      </c>
      <c r="AJ105" s="90"/>
      <c r="AK105" s="97" t="s">
        <v>1338</v>
      </c>
      <c r="AL105" s="90" t="b">
        <v>0</v>
      </c>
      <c r="AM105" s="90">
        <v>0</v>
      </c>
      <c r="AN105" s="97" t="s">
        <v>1338</v>
      </c>
      <c r="AO105" s="97" t="s">
        <v>1450</v>
      </c>
      <c r="AP105" s="90" t="b">
        <v>0</v>
      </c>
      <c r="AQ105" s="97" t="s">
        <v>1249</v>
      </c>
      <c r="AR105" s="90" t="s">
        <v>187</v>
      </c>
      <c r="AS105" s="90">
        <v>0</v>
      </c>
      <c r="AT105" s="90">
        <v>0</v>
      </c>
      <c r="AU105" s="90"/>
      <c r="AV105" s="90"/>
      <c r="AW105" s="90"/>
      <c r="AX105" s="90"/>
      <c r="AY105" s="90"/>
      <c r="AZ105" s="90"/>
      <c r="BA105" s="90"/>
      <c r="BB105" s="90"/>
      <c r="BC105">
        <v>1</v>
      </c>
      <c r="BD105" s="89" t="str">
        <f>REPLACE(INDEX(GroupVertices[Group],MATCH(Edges[[#This Row],[Vertex 1]],GroupVertices[Vertex],0)),1,1,"")</f>
        <v>8</v>
      </c>
      <c r="BE105" s="89" t="str">
        <f>REPLACE(INDEX(GroupVertices[Group],MATCH(Edges[[#This Row],[Vertex 2]],GroupVertices[Vertex],0)),1,1,"")</f>
        <v>8</v>
      </c>
      <c r="BF105" s="49"/>
      <c r="BG105" s="50"/>
      <c r="BH105" s="49"/>
      <c r="BI105" s="50"/>
      <c r="BJ105" s="49"/>
      <c r="BK105" s="50"/>
      <c r="BL105" s="49"/>
      <c r="BM105" s="50"/>
      <c r="BN105" s="49"/>
    </row>
    <row r="106" spans="1:66" ht="15">
      <c r="A106" s="65" t="s">
        <v>265</v>
      </c>
      <c r="B106" s="65" t="s">
        <v>307</v>
      </c>
      <c r="C106" s="66" t="s">
        <v>5817</v>
      </c>
      <c r="D106" s="67">
        <v>1</v>
      </c>
      <c r="E106" s="68" t="s">
        <v>132</v>
      </c>
      <c r="F106" s="69">
        <v>32</v>
      </c>
      <c r="G106" s="66" t="s">
        <v>51</v>
      </c>
      <c r="H106" s="70"/>
      <c r="I106" s="71"/>
      <c r="J106" s="71"/>
      <c r="K106" s="35" t="s">
        <v>65</v>
      </c>
      <c r="L106" s="79">
        <v>106</v>
      </c>
      <c r="M106" s="79"/>
      <c r="N106" s="73"/>
      <c r="O106" s="90" t="s">
        <v>524</v>
      </c>
      <c r="P106" s="93">
        <v>44525.81524305556</v>
      </c>
      <c r="Q106" s="90" t="s">
        <v>564</v>
      </c>
      <c r="R106" s="90"/>
      <c r="S106" s="90"/>
      <c r="T106" s="90"/>
      <c r="U106" s="90"/>
      <c r="V106" s="96" t="str">
        <f>HYPERLINK("https://pbs.twimg.com/profile_images/1439229566271250434/4kqPuLJk_normal.png")</f>
        <v>https://pbs.twimg.com/profile_images/1439229566271250434/4kqPuLJk_normal.png</v>
      </c>
      <c r="W106" s="93">
        <v>44525.81524305556</v>
      </c>
      <c r="X106" s="100">
        <v>44525</v>
      </c>
      <c r="Y106" s="97" t="s">
        <v>764</v>
      </c>
      <c r="Z106" s="96" t="str">
        <f>HYPERLINK("https://twitter.com/foliohattu5g/status/1463954125218013187")</f>
        <v>https://twitter.com/foliohattu5g/status/1463954125218013187</v>
      </c>
      <c r="AA106" s="90"/>
      <c r="AB106" s="90"/>
      <c r="AC106" s="97" t="s">
        <v>1016</v>
      </c>
      <c r="AD106" s="97" t="s">
        <v>1247</v>
      </c>
      <c r="AE106" s="90" t="b">
        <v>0</v>
      </c>
      <c r="AF106" s="90">
        <v>0</v>
      </c>
      <c r="AG106" s="97" t="s">
        <v>1364</v>
      </c>
      <c r="AH106" s="90" t="b">
        <v>0</v>
      </c>
      <c r="AI106" s="90" t="s">
        <v>1442</v>
      </c>
      <c r="AJ106" s="90"/>
      <c r="AK106" s="97" t="s">
        <v>1338</v>
      </c>
      <c r="AL106" s="90" t="b">
        <v>0</v>
      </c>
      <c r="AM106" s="90">
        <v>0</v>
      </c>
      <c r="AN106" s="97" t="s">
        <v>1338</v>
      </c>
      <c r="AO106" s="97" t="s">
        <v>1450</v>
      </c>
      <c r="AP106" s="90" t="b">
        <v>0</v>
      </c>
      <c r="AQ106" s="97" t="s">
        <v>1247</v>
      </c>
      <c r="AR106" s="90" t="s">
        <v>187</v>
      </c>
      <c r="AS106" s="90">
        <v>0</v>
      </c>
      <c r="AT106" s="90">
        <v>0</v>
      </c>
      <c r="AU106" s="90"/>
      <c r="AV106" s="90"/>
      <c r="AW106" s="90"/>
      <c r="AX106" s="90"/>
      <c r="AY106" s="90"/>
      <c r="AZ106" s="90"/>
      <c r="BA106" s="90"/>
      <c r="BB106" s="90"/>
      <c r="BC106">
        <v>1</v>
      </c>
      <c r="BD106" s="89" t="str">
        <f>REPLACE(INDEX(GroupVertices[Group],MATCH(Edges[[#This Row],[Vertex 1]],GroupVertices[Vertex],0)),1,1,"")</f>
        <v>8</v>
      </c>
      <c r="BE106" s="89" t="str">
        <f>REPLACE(INDEX(GroupVertices[Group],MATCH(Edges[[#This Row],[Vertex 2]],GroupVertices[Vertex],0)),1,1,"")</f>
        <v>8</v>
      </c>
      <c r="BF106" s="49">
        <v>0</v>
      </c>
      <c r="BG106" s="50">
        <v>0</v>
      </c>
      <c r="BH106" s="49">
        <v>0</v>
      </c>
      <c r="BI106" s="50">
        <v>0</v>
      </c>
      <c r="BJ106" s="49">
        <v>0</v>
      </c>
      <c r="BK106" s="50">
        <v>0</v>
      </c>
      <c r="BL106" s="49">
        <v>32</v>
      </c>
      <c r="BM106" s="50">
        <v>100</v>
      </c>
      <c r="BN106" s="49">
        <v>32</v>
      </c>
    </row>
    <row r="107" spans="1:66" ht="15">
      <c r="A107" s="65" t="s">
        <v>265</v>
      </c>
      <c r="B107" s="65" t="s">
        <v>420</v>
      </c>
      <c r="C107" s="66" t="s">
        <v>5818</v>
      </c>
      <c r="D107" s="67">
        <v>1</v>
      </c>
      <c r="E107" s="68" t="s">
        <v>132</v>
      </c>
      <c r="F107" s="69">
        <v>32</v>
      </c>
      <c r="G107" s="66" t="s">
        <v>51</v>
      </c>
      <c r="H107" s="70"/>
      <c r="I107" s="71"/>
      <c r="J107" s="71"/>
      <c r="K107" s="35" t="s">
        <v>65</v>
      </c>
      <c r="L107" s="79">
        <v>107</v>
      </c>
      <c r="M107" s="79"/>
      <c r="N107" s="73"/>
      <c r="O107" s="90" t="s">
        <v>524</v>
      </c>
      <c r="P107" s="93">
        <v>44529.73851851852</v>
      </c>
      <c r="Q107" s="90" t="s">
        <v>567</v>
      </c>
      <c r="R107" s="90"/>
      <c r="S107" s="90"/>
      <c r="T107" s="90"/>
      <c r="U107" s="90"/>
      <c r="V107" s="96" t="str">
        <f>HYPERLINK("https://pbs.twimg.com/profile_images/1439229566271250434/4kqPuLJk_normal.png")</f>
        <v>https://pbs.twimg.com/profile_images/1439229566271250434/4kqPuLJk_normal.png</v>
      </c>
      <c r="W107" s="93">
        <v>44529.73851851852</v>
      </c>
      <c r="X107" s="100">
        <v>44529</v>
      </c>
      <c r="Y107" s="97" t="s">
        <v>767</v>
      </c>
      <c r="Z107" s="96" t="str">
        <f>HYPERLINK("https://twitter.com/foliohattu5g/status/1465375874480586761")</f>
        <v>https://twitter.com/foliohattu5g/status/1465375874480586761</v>
      </c>
      <c r="AA107" s="90"/>
      <c r="AB107" s="90"/>
      <c r="AC107" s="97" t="s">
        <v>1019</v>
      </c>
      <c r="AD107" s="97" t="s">
        <v>1250</v>
      </c>
      <c r="AE107" s="90" t="b">
        <v>0</v>
      </c>
      <c r="AF107" s="90">
        <v>20</v>
      </c>
      <c r="AG107" s="97" t="s">
        <v>1367</v>
      </c>
      <c r="AH107" s="90" t="b">
        <v>0</v>
      </c>
      <c r="AI107" s="90" t="s">
        <v>1442</v>
      </c>
      <c r="AJ107" s="90"/>
      <c r="AK107" s="97" t="s">
        <v>1338</v>
      </c>
      <c r="AL107" s="90" t="b">
        <v>0</v>
      </c>
      <c r="AM107" s="90">
        <v>0</v>
      </c>
      <c r="AN107" s="97" t="s">
        <v>1338</v>
      </c>
      <c r="AO107" s="97" t="s">
        <v>1450</v>
      </c>
      <c r="AP107" s="90" t="b">
        <v>0</v>
      </c>
      <c r="AQ107" s="97" t="s">
        <v>1250</v>
      </c>
      <c r="AR107" s="90" t="s">
        <v>187</v>
      </c>
      <c r="AS107" s="90">
        <v>0</v>
      </c>
      <c r="AT107" s="90">
        <v>0</v>
      </c>
      <c r="AU107" s="90"/>
      <c r="AV107" s="90"/>
      <c r="AW107" s="90"/>
      <c r="AX107" s="90"/>
      <c r="AY107" s="90"/>
      <c r="AZ107" s="90"/>
      <c r="BA107" s="90"/>
      <c r="BB107" s="90"/>
      <c r="BC107">
        <v>2</v>
      </c>
      <c r="BD107" s="89" t="str">
        <f>REPLACE(INDEX(GroupVertices[Group],MATCH(Edges[[#This Row],[Vertex 1]],GroupVertices[Vertex],0)),1,1,"")</f>
        <v>8</v>
      </c>
      <c r="BE107" s="89" t="str">
        <f>REPLACE(INDEX(GroupVertices[Group],MATCH(Edges[[#This Row],[Vertex 2]],GroupVertices[Vertex],0)),1,1,"")</f>
        <v>8</v>
      </c>
      <c r="BF107" s="49"/>
      <c r="BG107" s="50"/>
      <c r="BH107" s="49"/>
      <c r="BI107" s="50"/>
      <c r="BJ107" s="49"/>
      <c r="BK107" s="50"/>
      <c r="BL107" s="49"/>
      <c r="BM107" s="50"/>
      <c r="BN107" s="49"/>
    </row>
    <row r="108" spans="1:66" ht="15">
      <c r="A108" s="65" t="s">
        <v>265</v>
      </c>
      <c r="B108" s="65" t="s">
        <v>421</v>
      </c>
      <c r="C108" s="66" t="s">
        <v>5817</v>
      </c>
      <c r="D108" s="67">
        <v>1</v>
      </c>
      <c r="E108" s="68" t="s">
        <v>132</v>
      </c>
      <c r="F108" s="69">
        <v>32</v>
      </c>
      <c r="G108" s="66" t="s">
        <v>51</v>
      </c>
      <c r="H108" s="70"/>
      <c r="I108" s="71"/>
      <c r="J108" s="71"/>
      <c r="K108" s="35" t="s">
        <v>65</v>
      </c>
      <c r="L108" s="79">
        <v>108</v>
      </c>
      <c r="M108" s="79"/>
      <c r="N108" s="73"/>
      <c r="O108" s="90" t="s">
        <v>524</v>
      </c>
      <c r="P108" s="93">
        <v>44529.73851851852</v>
      </c>
      <c r="Q108" s="90" t="s">
        <v>567</v>
      </c>
      <c r="R108" s="90"/>
      <c r="S108" s="90"/>
      <c r="T108" s="90"/>
      <c r="U108" s="90"/>
      <c r="V108" s="96" t="str">
        <f>HYPERLINK("https://pbs.twimg.com/profile_images/1439229566271250434/4kqPuLJk_normal.png")</f>
        <v>https://pbs.twimg.com/profile_images/1439229566271250434/4kqPuLJk_normal.png</v>
      </c>
      <c r="W108" s="93">
        <v>44529.73851851852</v>
      </c>
      <c r="X108" s="100">
        <v>44529</v>
      </c>
      <c r="Y108" s="97" t="s">
        <v>767</v>
      </c>
      <c r="Z108" s="96" t="str">
        <f>HYPERLINK("https://twitter.com/foliohattu5g/status/1465375874480586761")</f>
        <v>https://twitter.com/foliohattu5g/status/1465375874480586761</v>
      </c>
      <c r="AA108" s="90"/>
      <c r="AB108" s="90"/>
      <c r="AC108" s="97" t="s">
        <v>1019</v>
      </c>
      <c r="AD108" s="97" t="s">
        <v>1250</v>
      </c>
      <c r="AE108" s="90" t="b">
        <v>0</v>
      </c>
      <c r="AF108" s="90">
        <v>20</v>
      </c>
      <c r="AG108" s="97" t="s">
        <v>1367</v>
      </c>
      <c r="AH108" s="90" t="b">
        <v>0</v>
      </c>
      <c r="AI108" s="90" t="s">
        <v>1442</v>
      </c>
      <c r="AJ108" s="90"/>
      <c r="AK108" s="97" t="s">
        <v>1338</v>
      </c>
      <c r="AL108" s="90" t="b">
        <v>0</v>
      </c>
      <c r="AM108" s="90">
        <v>0</v>
      </c>
      <c r="AN108" s="97" t="s">
        <v>1338</v>
      </c>
      <c r="AO108" s="97" t="s">
        <v>1450</v>
      </c>
      <c r="AP108" s="90" t="b">
        <v>0</v>
      </c>
      <c r="AQ108" s="97" t="s">
        <v>1250</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8</v>
      </c>
      <c r="BE108" s="89" t="str">
        <f>REPLACE(INDEX(GroupVertices[Group],MATCH(Edges[[#This Row],[Vertex 2]],GroupVertices[Vertex],0)),1,1,"")</f>
        <v>8</v>
      </c>
      <c r="BF108" s="49"/>
      <c r="BG108" s="50"/>
      <c r="BH108" s="49"/>
      <c r="BI108" s="50"/>
      <c r="BJ108" s="49"/>
      <c r="BK108" s="50"/>
      <c r="BL108" s="49"/>
      <c r="BM108" s="50"/>
      <c r="BN108" s="49"/>
    </row>
    <row r="109" spans="1:66" ht="15">
      <c r="A109" s="65" t="s">
        <v>265</v>
      </c>
      <c r="B109" s="65" t="s">
        <v>422</v>
      </c>
      <c r="C109" s="66" t="s">
        <v>5817</v>
      </c>
      <c r="D109" s="67">
        <v>1</v>
      </c>
      <c r="E109" s="68" t="s">
        <v>132</v>
      </c>
      <c r="F109" s="69">
        <v>32</v>
      </c>
      <c r="G109" s="66" t="s">
        <v>51</v>
      </c>
      <c r="H109" s="70"/>
      <c r="I109" s="71"/>
      <c r="J109" s="71"/>
      <c r="K109" s="35" t="s">
        <v>65</v>
      </c>
      <c r="L109" s="79">
        <v>109</v>
      </c>
      <c r="M109" s="79"/>
      <c r="N109" s="73"/>
      <c r="O109" s="90" t="s">
        <v>523</v>
      </c>
      <c r="P109" s="93">
        <v>44529.73851851852</v>
      </c>
      <c r="Q109" s="90" t="s">
        <v>567</v>
      </c>
      <c r="R109" s="90"/>
      <c r="S109" s="90"/>
      <c r="T109" s="90"/>
      <c r="U109" s="90"/>
      <c r="V109" s="96" t="str">
        <f>HYPERLINK("https://pbs.twimg.com/profile_images/1439229566271250434/4kqPuLJk_normal.png")</f>
        <v>https://pbs.twimg.com/profile_images/1439229566271250434/4kqPuLJk_normal.png</v>
      </c>
      <c r="W109" s="93">
        <v>44529.73851851852</v>
      </c>
      <c r="X109" s="100">
        <v>44529</v>
      </c>
      <c r="Y109" s="97" t="s">
        <v>767</v>
      </c>
      <c r="Z109" s="96" t="str">
        <f>HYPERLINK("https://twitter.com/foliohattu5g/status/1465375874480586761")</f>
        <v>https://twitter.com/foliohattu5g/status/1465375874480586761</v>
      </c>
      <c r="AA109" s="90"/>
      <c r="AB109" s="90"/>
      <c r="AC109" s="97" t="s">
        <v>1019</v>
      </c>
      <c r="AD109" s="97" t="s">
        <v>1250</v>
      </c>
      <c r="AE109" s="90" t="b">
        <v>0</v>
      </c>
      <c r="AF109" s="90">
        <v>20</v>
      </c>
      <c r="AG109" s="97" t="s">
        <v>1367</v>
      </c>
      <c r="AH109" s="90" t="b">
        <v>0</v>
      </c>
      <c r="AI109" s="90" t="s">
        <v>1442</v>
      </c>
      <c r="AJ109" s="90"/>
      <c r="AK109" s="97" t="s">
        <v>1338</v>
      </c>
      <c r="AL109" s="90" t="b">
        <v>0</v>
      </c>
      <c r="AM109" s="90">
        <v>0</v>
      </c>
      <c r="AN109" s="97" t="s">
        <v>1338</v>
      </c>
      <c r="AO109" s="97" t="s">
        <v>1450</v>
      </c>
      <c r="AP109" s="90" t="b">
        <v>0</v>
      </c>
      <c r="AQ109" s="97" t="s">
        <v>1250</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8</v>
      </c>
      <c r="BE109" s="89" t="str">
        <f>REPLACE(INDEX(GroupVertices[Group],MATCH(Edges[[#This Row],[Vertex 2]],GroupVertices[Vertex],0)),1,1,"")</f>
        <v>8</v>
      </c>
      <c r="BF109" s="49">
        <v>0</v>
      </c>
      <c r="BG109" s="50">
        <v>0</v>
      </c>
      <c r="BH109" s="49">
        <v>0</v>
      </c>
      <c r="BI109" s="50">
        <v>0</v>
      </c>
      <c r="BJ109" s="49">
        <v>0</v>
      </c>
      <c r="BK109" s="50">
        <v>0</v>
      </c>
      <c r="BL109" s="49">
        <v>38</v>
      </c>
      <c r="BM109" s="50">
        <v>100</v>
      </c>
      <c r="BN109" s="49">
        <v>38</v>
      </c>
    </row>
    <row r="110" spans="1:66" ht="15">
      <c r="A110" s="65" t="s">
        <v>265</v>
      </c>
      <c r="B110" s="65" t="s">
        <v>420</v>
      </c>
      <c r="C110" s="66" t="s">
        <v>5818</v>
      </c>
      <c r="D110" s="67">
        <v>1</v>
      </c>
      <c r="E110" s="68" t="s">
        <v>132</v>
      </c>
      <c r="F110" s="69">
        <v>32</v>
      </c>
      <c r="G110" s="66" t="s">
        <v>51</v>
      </c>
      <c r="H110" s="70"/>
      <c r="I110" s="71"/>
      <c r="J110" s="71"/>
      <c r="K110" s="35" t="s">
        <v>65</v>
      </c>
      <c r="L110" s="79">
        <v>110</v>
      </c>
      <c r="M110" s="79"/>
      <c r="N110" s="73"/>
      <c r="O110" s="90" t="s">
        <v>524</v>
      </c>
      <c r="P110" s="93">
        <v>44529.80368055555</v>
      </c>
      <c r="Q110" s="90" t="s">
        <v>566</v>
      </c>
      <c r="R110" s="96" t="str">
        <f>HYPERLINK("https://c19early.com/")</f>
        <v>https://c19early.com/</v>
      </c>
      <c r="S110" s="90" t="s">
        <v>694</v>
      </c>
      <c r="T110" s="90"/>
      <c r="U110" s="90"/>
      <c r="V110" s="96" t="str">
        <f>HYPERLINK("https://pbs.twimg.com/profile_images/1439229566271250434/4kqPuLJk_normal.png")</f>
        <v>https://pbs.twimg.com/profile_images/1439229566271250434/4kqPuLJk_normal.png</v>
      </c>
      <c r="W110" s="93">
        <v>44529.80368055555</v>
      </c>
      <c r="X110" s="100">
        <v>44529</v>
      </c>
      <c r="Y110" s="97" t="s">
        <v>766</v>
      </c>
      <c r="Z110" s="96" t="str">
        <f>HYPERLINK("https://twitter.com/foliohattu5g/status/1465399486461755398")</f>
        <v>https://twitter.com/foliohattu5g/status/1465399486461755398</v>
      </c>
      <c r="AA110" s="90"/>
      <c r="AB110" s="90"/>
      <c r="AC110" s="97" t="s">
        <v>1018</v>
      </c>
      <c r="AD110" s="97" t="s">
        <v>1249</v>
      </c>
      <c r="AE110" s="90" t="b">
        <v>0</v>
      </c>
      <c r="AF110" s="90">
        <v>2</v>
      </c>
      <c r="AG110" s="97" t="s">
        <v>1366</v>
      </c>
      <c r="AH110" s="90" t="b">
        <v>0</v>
      </c>
      <c r="AI110" s="90" t="s">
        <v>1442</v>
      </c>
      <c r="AJ110" s="90"/>
      <c r="AK110" s="97" t="s">
        <v>1338</v>
      </c>
      <c r="AL110" s="90" t="b">
        <v>0</v>
      </c>
      <c r="AM110" s="90">
        <v>0</v>
      </c>
      <c r="AN110" s="97" t="s">
        <v>1338</v>
      </c>
      <c r="AO110" s="97" t="s">
        <v>1450</v>
      </c>
      <c r="AP110" s="90" t="b">
        <v>0</v>
      </c>
      <c r="AQ110" s="97" t="s">
        <v>1249</v>
      </c>
      <c r="AR110" s="90" t="s">
        <v>187</v>
      </c>
      <c r="AS110" s="90">
        <v>0</v>
      </c>
      <c r="AT110" s="90">
        <v>0</v>
      </c>
      <c r="AU110" s="90"/>
      <c r="AV110" s="90"/>
      <c r="AW110" s="90"/>
      <c r="AX110" s="90"/>
      <c r="AY110" s="90"/>
      <c r="AZ110" s="90"/>
      <c r="BA110" s="90"/>
      <c r="BB110" s="90"/>
      <c r="BC110">
        <v>2</v>
      </c>
      <c r="BD110" s="89" t="str">
        <f>REPLACE(INDEX(GroupVertices[Group],MATCH(Edges[[#This Row],[Vertex 1]],GroupVertices[Vertex],0)),1,1,"")</f>
        <v>8</v>
      </c>
      <c r="BE110" s="89" t="str">
        <f>REPLACE(INDEX(GroupVertices[Group],MATCH(Edges[[#This Row],[Vertex 2]],GroupVertices[Vertex],0)),1,1,"")</f>
        <v>8</v>
      </c>
      <c r="BF110" s="49"/>
      <c r="BG110" s="50"/>
      <c r="BH110" s="49"/>
      <c r="BI110" s="50"/>
      <c r="BJ110" s="49"/>
      <c r="BK110" s="50"/>
      <c r="BL110" s="49"/>
      <c r="BM110" s="50"/>
      <c r="BN110" s="49"/>
    </row>
    <row r="111" spans="1:66" ht="15">
      <c r="A111" s="65" t="s">
        <v>265</v>
      </c>
      <c r="B111" s="65" t="s">
        <v>422</v>
      </c>
      <c r="C111" s="66" t="s">
        <v>5817</v>
      </c>
      <c r="D111" s="67">
        <v>1</v>
      </c>
      <c r="E111" s="68" t="s">
        <v>132</v>
      </c>
      <c r="F111" s="69">
        <v>32</v>
      </c>
      <c r="G111" s="66" t="s">
        <v>51</v>
      </c>
      <c r="H111" s="70"/>
      <c r="I111" s="71"/>
      <c r="J111" s="71"/>
      <c r="K111" s="35" t="s">
        <v>65</v>
      </c>
      <c r="L111" s="79">
        <v>111</v>
      </c>
      <c r="M111" s="79"/>
      <c r="N111" s="73"/>
      <c r="O111" s="90" t="s">
        <v>524</v>
      </c>
      <c r="P111" s="93">
        <v>44529.80368055555</v>
      </c>
      <c r="Q111" s="90" t="s">
        <v>566</v>
      </c>
      <c r="R111" s="96" t="str">
        <f>HYPERLINK("https://c19early.com/")</f>
        <v>https://c19early.com/</v>
      </c>
      <c r="S111" s="90" t="s">
        <v>694</v>
      </c>
      <c r="T111" s="90"/>
      <c r="U111" s="90"/>
      <c r="V111" s="96" t="str">
        <f>HYPERLINK("https://pbs.twimg.com/profile_images/1439229566271250434/4kqPuLJk_normal.png")</f>
        <v>https://pbs.twimg.com/profile_images/1439229566271250434/4kqPuLJk_normal.png</v>
      </c>
      <c r="W111" s="93">
        <v>44529.80368055555</v>
      </c>
      <c r="X111" s="100">
        <v>44529</v>
      </c>
      <c r="Y111" s="97" t="s">
        <v>766</v>
      </c>
      <c r="Z111" s="96" t="str">
        <f>HYPERLINK("https://twitter.com/foliohattu5g/status/1465399486461755398")</f>
        <v>https://twitter.com/foliohattu5g/status/1465399486461755398</v>
      </c>
      <c r="AA111" s="90"/>
      <c r="AB111" s="90"/>
      <c r="AC111" s="97" t="s">
        <v>1018</v>
      </c>
      <c r="AD111" s="97" t="s">
        <v>1249</v>
      </c>
      <c r="AE111" s="90" t="b">
        <v>0</v>
      </c>
      <c r="AF111" s="90">
        <v>2</v>
      </c>
      <c r="AG111" s="97" t="s">
        <v>1366</v>
      </c>
      <c r="AH111" s="90" t="b">
        <v>0</v>
      </c>
      <c r="AI111" s="90" t="s">
        <v>1442</v>
      </c>
      <c r="AJ111" s="90"/>
      <c r="AK111" s="97" t="s">
        <v>1338</v>
      </c>
      <c r="AL111" s="90" t="b">
        <v>0</v>
      </c>
      <c r="AM111" s="90">
        <v>0</v>
      </c>
      <c r="AN111" s="97" t="s">
        <v>1338</v>
      </c>
      <c r="AO111" s="97" t="s">
        <v>1450</v>
      </c>
      <c r="AP111" s="90" t="b">
        <v>0</v>
      </c>
      <c r="AQ111" s="97" t="s">
        <v>1249</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8</v>
      </c>
      <c r="BE111" s="89" t="str">
        <f>REPLACE(INDEX(GroupVertices[Group],MATCH(Edges[[#This Row],[Vertex 2]],GroupVertices[Vertex],0)),1,1,"")</f>
        <v>8</v>
      </c>
      <c r="BF111" s="49">
        <v>0</v>
      </c>
      <c r="BG111" s="50">
        <v>0</v>
      </c>
      <c r="BH111" s="49">
        <v>0</v>
      </c>
      <c r="BI111" s="50">
        <v>0</v>
      </c>
      <c r="BJ111" s="49">
        <v>0</v>
      </c>
      <c r="BK111" s="50">
        <v>0</v>
      </c>
      <c r="BL111" s="49">
        <v>13</v>
      </c>
      <c r="BM111" s="50">
        <v>100</v>
      </c>
      <c r="BN111" s="49">
        <v>13</v>
      </c>
    </row>
    <row r="112" spans="1:66" ht="15">
      <c r="A112" s="65" t="s">
        <v>265</v>
      </c>
      <c r="B112" s="65" t="s">
        <v>421</v>
      </c>
      <c r="C112" s="66" t="s">
        <v>5817</v>
      </c>
      <c r="D112" s="67">
        <v>1</v>
      </c>
      <c r="E112" s="68" t="s">
        <v>132</v>
      </c>
      <c r="F112" s="69">
        <v>32</v>
      </c>
      <c r="G112" s="66" t="s">
        <v>51</v>
      </c>
      <c r="H112" s="70"/>
      <c r="I112" s="71"/>
      <c r="J112" s="71"/>
      <c r="K112" s="35" t="s">
        <v>65</v>
      </c>
      <c r="L112" s="79">
        <v>112</v>
      </c>
      <c r="M112" s="79"/>
      <c r="N112" s="73"/>
      <c r="O112" s="90" t="s">
        <v>523</v>
      </c>
      <c r="P112" s="93">
        <v>44529.80368055555</v>
      </c>
      <c r="Q112" s="90" t="s">
        <v>566</v>
      </c>
      <c r="R112" s="96" t="str">
        <f>HYPERLINK("https://c19early.com/")</f>
        <v>https://c19early.com/</v>
      </c>
      <c r="S112" s="90" t="s">
        <v>694</v>
      </c>
      <c r="T112" s="90"/>
      <c r="U112" s="90"/>
      <c r="V112" s="96" t="str">
        <f>HYPERLINK("https://pbs.twimg.com/profile_images/1439229566271250434/4kqPuLJk_normal.png")</f>
        <v>https://pbs.twimg.com/profile_images/1439229566271250434/4kqPuLJk_normal.png</v>
      </c>
      <c r="W112" s="93">
        <v>44529.80368055555</v>
      </c>
      <c r="X112" s="100">
        <v>44529</v>
      </c>
      <c r="Y112" s="97" t="s">
        <v>766</v>
      </c>
      <c r="Z112" s="96" t="str">
        <f>HYPERLINK("https://twitter.com/foliohattu5g/status/1465399486461755398")</f>
        <v>https://twitter.com/foliohattu5g/status/1465399486461755398</v>
      </c>
      <c r="AA112" s="90"/>
      <c r="AB112" s="90"/>
      <c r="AC112" s="97" t="s">
        <v>1018</v>
      </c>
      <c r="AD112" s="97" t="s">
        <v>1249</v>
      </c>
      <c r="AE112" s="90" t="b">
        <v>0</v>
      </c>
      <c r="AF112" s="90">
        <v>2</v>
      </c>
      <c r="AG112" s="97" t="s">
        <v>1366</v>
      </c>
      <c r="AH112" s="90" t="b">
        <v>0</v>
      </c>
      <c r="AI112" s="90" t="s">
        <v>1442</v>
      </c>
      <c r="AJ112" s="90"/>
      <c r="AK112" s="97" t="s">
        <v>1338</v>
      </c>
      <c r="AL112" s="90" t="b">
        <v>0</v>
      </c>
      <c r="AM112" s="90">
        <v>0</v>
      </c>
      <c r="AN112" s="97" t="s">
        <v>1338</v>
      </c>
      <c r="AO112" s="97" t="s">
        <v>1450</v>
      </c>
      <c r="AP112" s="90" t="b">
        <v>0</v>
      </c>
      <c r="AQ112" s="97" t="s">
        <v>1249</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8</v>
      </c>
      <c r="BE112" s="89" t="str">
        <f>REPLACE(INDEX(GroupVertices[Group],MATCH(Edges[[#This Row],[Vertex 2]],GroupVertices[Vertex],0)),1,1,"")</f>
        <v>8</v>
      </c>
      <c r="BF112" s="49"/>
      <c r="BG112" s="50"/>
      <c r="BH112" s="49"/>
      <c r="BI112" s="50"/>
      <c r="BJ112" s="49"/>
      <c r="BK112" s="50"/>
      <c r="BL112" s="49"/>
      <c r="BM112" s="50"/>
      <c r="BN112" s="49"/>
    </row>
    <row r="113" spans="1:66" ht="15">
      <c r="A113" s="65" t="s">
        <v>266</v>
      </c>
      <c r="B113" s="65" t="s">
        <v>422</v>
      </c>
      <c r="C113" s="66" t="s">
        <v>5817</v>
      </c>
      <c r="D113" s="67">
        <v>1</v>
      </c>
      <c r="E113" s="68" t="s">
        <v>132</v>
      </c>
      <c r="F113" s="69">
        <v>32</v>
      </c>
      <c r="G113" s="66" t="s">
        <v>51</v>
      </c>
      <c r="H113" s="70"/>
      <c r="I113" s="71"/>
      <c r="J113" s="71"/>
      <c r="K113" s="35" t="s">
        <v>65</v>
      </c>
      <c r="L113" s="79">
        <v>113</v>
      </c>
      <c r="M113" s="79"/>
      <c r="N113" s="73"/>
      <c r="O113" s="90" t="s">
        <v>524</v>
      </c>
      <c r="P113" s="93">
        <v>44530.04754629629</v>
      </c>
      <c r="Q113" s="90" t="s">
        <v>568</v>
      </c>
      <c r="R113" s="90"/>
      <c r="S113" s="90"/>
      <c r="T113" s="90"/>
      <c r="U113" s="90"/>
      <c r="V113" s="96" t="str">
        <f>HYPERLINK("https://pbs.twimg.com/profile_images/1426306317891801089/om8OEdpA_normal.jpg")</f>
        <v>https://pbs.twimg.com/profile_images/1426306317891801089/om8OEdpA_normal.jpg</v>
      </c>
      <c r="W113" s="93">
        <v>44530.04754629629</v>
      </c>
      <c r="X113" s="100">
        <v>44530</v>
      </c>
      <c r="Y113" s="97" t="s">
        <v>768</v>
      </c>
      <c r="Z113" s="96" t="str">
        <f>HYPERLINK("https://twitter.com/eevapirila/status/1465487863961821189")</f>
        <v>https://twitter.com/eevapirila/status/1465487863961821189</v>
      </c>
      <c r="AA113" s="90"/>
      <c r="AB113" s="90"/>
      <c r="AC113" s="97" t="s">
        <v>1020</v>
      </c>
      <c r="AD113" s="97" t="s">
        <v>1251</v>
      </c>
      <c r="AE113" s="90" t="b">
        <v>0</v>
      </c>
      <c r="AF113" s="90">
        <v>0</v>
      </c>
      <c r="AG113" s="97" t="s">
        <v>1368</v>
      </c>
      <c r="AH113" s="90" t="b">
        <v>0</v>
      </c>
      <c r="AI113" s="90" t="s">
        <v>1442</v>
      </c>
      <c r="AJ113" s="90"/>
      <c r="AK113" s="97" t="s">
        <v>1338</v>
      </c>
      <c r="AL113" s="90" t="b">
        <v>0</v>
      </c>
      <c r="AM113" s="90">
        <v>0</v>
      </c>
      <c r="AN113" s="97" t="s">
        <v>1338</v>
      </c>
      <c r="AO113" s="97" t="s">
        <v>1452</v>
      </c>
      <c r="AP113" s="90" t="b">
        <v>0</v>
      </c>
      <c r="AQ113" s="97" t="s">
        <v>1251</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8</v>
      </c>
      <c r="BE113" s="89" t="str">
        <f>REPLACE(INDEX(GroupVertices[Group],MATCH(Edges[[#This Row],[Vertex 2]],GroupVertices[Vertex],0)),1,1,"")</f>
        <v>8</v>
      </c>
      <c r="BF113" s="49">
        <v>0</v>
      </c>
      <c r="BG113" s="50">
        <v>0</v>
      </c>
      <c r="BH113" s="49">
        <v>0</v>
      </c>
      <c r="BI113" s="50">
        <v>0</v>
      </c>
      <c r="BJ113" s="49">
        <v>0</v>
      </c>
      <c r="BK113" s="50">
        <v>0</v>
      </c>
      <c r="BL113" s="49">
        <v>13</v>
      </c>
      <c r="BM113" s="50">
        <v>100</v>
      </c>
      <c r="BN113" s="49">
        <v>13</v>
      </c>
    </row>
    <row r="114" spans="1:66" ht="15">
      <c r="A114" s="65" t="s">
        <v>266</v>
      </c>
      <c r="B114" s="65" t="s">
        <v>421</v>
      </c>
      <c r="C114" s="66" t="s">
        <v>5817</v>
      </c>
      <c r="D114" s="67">
        <v>1</v>
      </c>
      <c r="E114" s="68" t="s">
        <v>132</v>
      </c>
      <c r="F114" s="69">
        <v>32</v>
      </c>
      <c r="G114" s="66" t="s">
        <v>51</v>
      </c>
      <c r="H114" s="70"/>
      <c r="I114" s="71"/>
      <c r="J114" s="71"/>
      <c r="K114" s="35" t="s">
        <v>65</v>
      </c>
      <c r="L114" s="79">
        <v>114</v>
      </c>
      <c r="M114" s="79"/>
      <c r="N114" s="73"/>
      <c r="O114" s="90" t="s">
        <v>523</v>
      </c>
      <c r="P114" s="93">
        <v>44530.04754629629</v>
      </c>
      <c r="Q114" s="90" t="s">
        <v>568</v>
      </c>
      <c r="R114" s="90"/>
      <c r="S114" s="90"/>
      <c r="T114" s="90"/>
      <c r="U114" s="90"/>
      <c r="V114" s="96" t="str">
        <f>HYPERLINK("https://pbs.twimg.com/profile_images/1426306317891801089/om8OEdpA_normal.jpg")</f>
        <v>https://pbs.twimg.com/profile_images/1426306317891801089/om8OEdpA_normal.jpg</v>
      </c>
      <c r="W114" s="93">
        <v>44530.04754629629</v>
      </c>
      <c r="X114" s="100">
        <v>44530</v>
      </c>
      <c r="Y114" s="97" t="s">
        <v>768</v>
      </c>
      <c r="Z114" s="96" t="str">
        <f>HYPERLINK("https://twitter.com/eevapirila/status/1465487863961821189")</f>
        <v>https://twitter.com/eevapirila/status/1465487863961821189</v>
      </c>
      <c r="AA114" s="90"/>
      <c r="AB114" s="90"/>
      <c r="AC114" s="97" t="s">
        <v>1020</v>
      </c>
      <c r="AD114" s="97" t="s">
        <v>1251</v>
      </c>
      <c r="AE114" s="90" t="b">
        <v>0</v>
      </c>
      <c r="AF114" s="90">
        <v>0</v>
      </c>
      <c r="AG114" s="97" t="s">
        <v>1368</v>
      </c>
      <c r="AH114" s="90" t="b">
        <v>0</v>
      </c>
      <c r="AI114" s="90" t="s">
        <v>1442</v>
      </c>
      <c r="AJ114" s="90"/>
      <c r="AK114" s="97" t="s">
        <v>1338</v>
      </c>
      <c r="AL114" s="90" t="b">
        <v>0</v>
      </c>
      <c r="AM114" s="90">
        <v>0</v>
      </c>
      <c r="AN114" s="97" t="s">
        <v>1338</v>
      </c>
      <c r="AO114" s="97" t="s">
        <v>1452</v>
      </c>
      <c r="AP114" s="90" t="b">
        <v>0</v>
      </c>
      <c r="AQ114" s="97" t="s">
        <v>1251</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8</v>
      </c>
      <c r="BE114" s="89" t="str">
        <f>REPLACE(INDEX(GroupVertices[Group],MATCH(Edges[[#This Row],[Vertex 2]],GroupVertices[Vertex],0)),1,1,"")</f>
        <v>8</v>
      </c>
      <c r="BF114" s="49"/>
      <c r="BG114" s="50"/>
      <c r="BH114" s="49"/>
      <c r="BI114" s="50"/>
      <c r="BJ114" s="49"/>
      <c r="BK114" s="50"/>
      <c r="BL114" s="49"/>
      <c r="BM114" s="50"/>
      <c r="BN114" s="49"/>
    </row>
    <row r="115" spans="1:66" ht="15">
      <c r="A115" s="65" t="s">
        <v>266</v>
      </c>
      <c r="B115" s="65" t="s">
        <v>420</v>
      </c>
      <c r="C115" s="66" t="s">
        <v>5817</v>
      </c>
      <c r="D115" s="67">
        <v>1</v>
      </c>
      <c r="E115" s="68" t="s">
        <v>132</v>
      </c>
      <c r="F115" s="69">
        <v>32</v>
      </c>
      <c r="G115" s="66" t="s">
        <v>51</v>
      </c>
      <c r="H115" s="70"/>
      <c r="I115" s="71"/>
      <c r="J115" s="71"/>
      <c r="K115" s="35" t="s">
        <v>65</v>
      </c>
      <c r="L115" s="79">
        <v>115</v>
      </c>
      <c r="M115" s="79"/>
      <c r="N115" s="73"/>
      <c r="O115" s="90" t="s">
        <v>524</v>
      </c>
      <c r="P115" s="93">
        <v>44530.04754629629</v>
      </c>
      <c r="Q115" s="90" t="s">
        <v>568</v>
      </c>
      <c r="R115" s="90"/>
      <c r="S115" s="90"/>
      <c r="T115" s="90"/>
      <c r="U115" s="90"/>
      <c r="V115" s="96" t="str">
        <f>HYPERLINK("https://pbs.twimg.com/profile_images/1426306317891801089/om8OEdpA_normal.jpg")</f>
        <v>https://pbs.twimg.com/profile_images/1426306317891801089/om8OEdpA_normal.jpg</v>
      </c>
      <c r="W115" s="93">
        <v>44530.04754629629</v>
      </c>
      <c r="X115" s="100">
        <v>44530</v>
      </c>
      <c r="Y115" s="97" t="s">
        <v>768</v>
      </c>
      <c r="Z115" s="96" t="str">
        <f>HYPERLINK("https://twitter.com/eevapirila/status/1465487863961821189")</f>
        <v>https://twitter.com/eevapirila/status/1465487863961821189</v>
      </c>
      <c r="AA115" s="90"/>
      <c r="AB115" s="90"/>
      <c r="AC115" s="97" t="s">
        <v>1020</v>
      </c>
      <c r="AD115" s="97" t="s">
        <v>1251</v>
      </c>
      <c r="AE115" s="90" t="b">
        <v>0</v>
      </c>
      <c r="AF115" s="90">
        <v>0</v>
      </c>
      <c r="AG115" s="97" t="s">
        <v>1368</v>
      </c>
      <c r="AH115" s="90" t="b">
        <v>0</v>
      </c>
      <c r="AI115" s="90" t="s">
        <v>1442</v>
      </c>
      <c r="AJ115" s="90"/>
      <c r="AK115" s="97" t="s">
        <v>1338</v>
      </c>
      <c r="AL115" s="90" t="b">
        <v>0</v>
      </c>
      <c r="AM115" s="90">
        <v>0</v>
      </c>
      <c r="AN115" s="97" t="s">
        <v>1338</v>
      </c>
      <c r="AO115" s="97" t="s">
        <v>1452</v>
      </c>
      <c r="AP115" s="90" t="b">
        <v>0</v>
      </c>
      <c r="AQ115" s="97" t="s">
        <v>1251</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8</v>
      </c>
      <c r="BE115" s="89" t="str">
        <f>REPLACE(INDEX(GroupVertices[Group],MATCH(Edges[[#This Row],[Vertex 2]],GroupVertices[Vertex],0)),1,1,"")</f>
        <v>8</v>
      </c>
      <c r="BF115" s="49"/>
      <c r="BG115" s="50"/>
      <c r="BH115" s="49"/>
      <c r="BI115" s="50"/>
      <c r="BJ115" s="49"/>
      <c r="BK115" s="50"/>
      <c r="BL115" s="49"/>
      <c r="BM115" s="50"/>
      <c r="BN115" s="49"/>
    </row>
    <row r="116" spans="1:66" ht="15">
      <c r="A116" s="65" t="s">
        <v>267</v>
      </c>
      <c r="B116" s="65" t="s">
        <v>423</v>
      </c>
      <c r="C116" s="66" t="s">
        <v>5817</v>
      </c>
      <c r="D116" s="67">
        <v>1</v>
      </c>
      <c r="E116" s="68" t="s">
        <v>132</v>
      </c>
      <c r="F116" s="69">
        <v>32</v>
      </c>
      <c r="G116" s="66" t="s">
        <v>51</v>
      </c>
      <c r="H116" s="70"/>
      <c r="I116" s="71"/>
      <c r="J116" s="71"/>
      <c r="K116" s="35" t="s">
        <v>65</v>
      </c>
      <c r="L116" s="79">
        <v>116</v>
      </c>
      <c r="M116" s="79"/>
      <c r="N116" s="73"/>
      <c r="O116" s="90" t="s">
        <v>523</v>
      </c>
      <c r="P116" s="93">
        <v>44525.83461805555</v>
      </c>
      <c r="Q116" s="90" t="s">
        <v>569</v>
      </c>
      <c r="R116" s="90"/>
      <c r="S116" s="90"/>
      <c r="T116" s="90"/>
      <c r="U116" s="90"/>
      <c r="V116" s="96" t="str">
        <f>HYPERLINK("https://abs.twimg.com/sticky/default_profile_images/default_profile_normal.png")</f>
        <v>https://abs.twimg.com/sticky/default_profile_images/default_profile_normal.png</v>
      </c>
      <c r="W116" s="93">
        <v>44525.83461805555</v>
      </c>
      <c r="X116" s="100">
        <v>44525</v>
      </c>
      <c r="Y116" s="97" t="s">
        <v>769</v>
      </c>
      <c r="Z116" s="96" t="str">
        <f>HYPERLINK("https://twitter.com/petri190722231/status/1463961148299042823")</f>
        <v>https://twitter.com/petri190722231/status/1463961148299042823</v>
      </c>
      <c r="AA116" s="90"/>
      <c r="AB116" s="90"/>
      <c r="AC116" s="97" t="s">
        <v>1021</v>
      </c>
      <c r="AD116" s="97" t="s">
        <v>1252</v>
      </c>
      <c r="AE116" s="90" t="b">
        <v>0</v>
      </c>
      <c r="AF116" s="90">
        <v>1</v>
      </c>
      <c r="AG116" s="97" t="s">
        <v>1369</v>
      </c>
      <c r="AH116" s="90" t="b">
        <v>0</v>
      </c>
      <c r="AI116" s="90" t="s">
        <v>1442</v>
      </c>
      <c r="AJ116" s="90"/>
      <c r="AK116" s="97" t="s">
        <v>1338</v>
      </c>
      <c r="AL116" s="90" t="b">
        <v>0</v>
      </c>
      <c r="AM116" s="90">
        <v>0</v>
      </c>
      <c r="AN116" s="97" t="s">
        <v>1338</v>
      </c>
      <c r="AO116" s="97" t="s">
        <v>1450</v>
      </c>
      <c r="AP116" s="90" t="b">
        <v>0</v>
      </c>
      <c r="AQ116" s="97" t="s">
        <v>1252</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5" t="s">
        <v>267</v>
      </c>
      <c r="B117" s="65" t="s">
        <v>420</v>
      </c>
      <c r="C117" s="66" t="s">
        <v>5817</v>
      </c>
      <c r="D117" s="67">
        <v>1</v>
      </c>
      <c r="E117" s="68" t="s">
        <v>132</v>
      </c>
      <c r="F117" s="69">
        <v>32</v>
      </c>
      <c r="G117" s="66" t="s">
        <v>51</v>
      </c>
      <c r="H117" s="70"/>
      <c r="I117" s="71"/>
      <c r="J117" s="71"/>
      <c r="K117" s="35" t="s">
        <v>65</v>
      </c>
      <c r="L117" s="79">
        <v>117</v>
      </c>
      <c r="M117" s="79"/>
      <c r="N117" s="73"/>
      <c r="O117" s="90" t="s">
        <v>523</v>
      </c>
      <c r="P117" s="93">
        <v>44528.72943287037</v>
      </c>
      <c r="Q117" s="90" t="s">
        <v>570</v>
      </c>
      <c r="R117" s="90" t="s">
        <v>687</v>
      </c>
      <c r="S117" s="90" t="s">
        <v>695</v>
      </c>
      <c r="T117" s="90"/>
      <c r="U117" s="90"/>
      <c r="V117" s="96" t="str">
        <f>HYPERLINK("https://abs.twimg.com/sticky/default_profile_images/default_profile_normal.png")</f>
        <v>https://abs.twimg.com/sticky/default_profile_images/default_profile_normal.png</v>
      </c>
      <c r="W117" s="93">
        <v>44528.72943287037</v>
      </c>
      <c r="X117" s="100">
        <v>44528</v>
      </c>
      <c r="Y117" s="97" t="s">
        <v>770</v>
      </c>
      <c r="Z117" s="96" t="str">
        <f>HYPERLINK("https://twitter.com/petri190722231/status/1465010195524894733")</f>
        <v>https://twitter.com/petri190722231/status/1465010195524894733</v>
      </c>
      <c r="AA117" s="90"/>
      <c r="AB117" s="90"/>
      <c r="AC117" s="97" t="s">
        <v>1022</v>
      </c>
      <c r="AD117" s="97" t="s">
        <v>1253</v>
      </c>
      <c r="AE117" s="90" t="b">
        <v>0</v>
      </c>
      <c r="AF117" s="90">
        <v>3</v>
      </c>
      <c r="AG117" s="97" t="s">
        <v>1370</v>
      </c>
      <c r="AH117" s="90" t="b">
        <v>0</v>
      </c>
      <c r="AI117" s="90" t="s">
        <v>1442</v>
      </c>
      <c r="AJ117" s="90"/>
      <c r="AK117" s="97" t="s">
        <v>1338</v>
      </c>
      <c r="AL117" s="90" t="b">
        <v>0</v>
      </c>
      <c r="AM117" s="90">
        <v>0</v>
      </c>
      <c r="AN117" s="97" t="s">
        <v>1338</v>
      </c>
      <c r="AO117" s="97" t="s">
        <v>1450</v>
      </c>
      <c r="AP117" s="90" t="b">
        <v>0</v>
      </c>
      <c r="AQ117" s="97" t="s">
        <v>1253</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1</v>
      </c>
      <c r="BE117" s="89" t="str">
        <f>REPLACE(INDEX(GroupVertices[Group],MATCH(Edges[[#This Row],[Vertex 2]],GroupVertices[Vertex],0)),1,1,"")</f>
        <v>8</v>
      </c>
      <c r="BF117" s="49">
        <v>0</v>
      </c>
      <c r="BG117" s="50">
        <v>0</v>
      </c>
      <c r="BH117" s="49">
        <v>0</v>
      </c>
      <c r="BI117" s="50">
        <v>0</v>
      </c>
      <c r="BJ117" s="49">
        <v>0</v>
      </c>
      <c r="BK117" s="50">
        <v>0</v>
      </c>
      <c r="BL117" s="49">
        <v>29</v>
      </c>
      <c r="BM117" s="50">
        <v>100</v>
      </c>
      <c r="BN117" s="49">
        <v>29</v>
      </c>
    </row>
    <row r="118" spans="1:66" ht="15">
      <c r="A118" s="65" t="s">
        <v>267</v>
      </c>
      <c r="B118" s="65" t="s">
        <v>424</v>
      </c>
      <c r="C118" s="66" t="s">
        <v>5817</v>
      </c>
      <c r="D118" s="67">
        <v>1</v>
      </c>
      <c r="E118" s="68" t="s">
        <v>132</v>
      </c>
      <c r="F118" s="69">
        <v>32</v>
      </c>
      <c r="G118" s="66" t="s">
        <v>51</v>
      </c>
      <c r="H118" s="70"/>
      <c r="I118" s="71"/>
      <c r="J118" s="71"/>
      <c r="K118" s="35" t="s">
        <v>65</v>
      </c>
      <c r="L118" s="79">
        <v>118</v>
      </c>
      <c r="M118" s="79"/>
      <c r="N118" s="73"/>
      <c r="O118" s="90" t="s">
        <v>524</v>
      </c>
      <c r="P118" s="93">
        <v>44530.18400462963</v>
      </c>
      <c r="Q118" s="90" t="s">
        <v>571</v>
      </c>
      <c r="R118" s="90"/>
      <c r="S118" s="90"/>
      <c r="T118" s="90"/>
      <c r="U118" s="96" t="str">
        <f>HYPERLINK("https://pbs.twimg.com/media/FFaiXIsWYAIgfTY.png")</f>
        <v>https://pbs.twimg.com/media/FFaiXIsWYAIgfTY.png</v>
      </c>
      <c r="V118" s="96" t="str">
        <f>HYPERLINK("https://pbs.twimg.com/media/FFaiXIsWYAIgfTY.png")</f>
        <v>https://pbs.twimg.com/media/FFaiXIsWYAIgfTY.png</v>
      </c>
      <c r="W118" s="93">
        <v>44530.18400462963</v>
      </c>
      <c r="X118" s="100">
        <v>44530</v>
      </c>
      <c r="Y118" s="97" t="s">
        <v>771</v>
      </c>
      <c r="Z118" s="96" t="str">
        <f>HYPERLINK("https://twitter.com/petri190722231/status/1465537311521845249")</f>
        <v>https://twitter.com/petri190722231/status/1465537311521845249</v>
      </c>
      <c r="AA118" s="90"/>
      <c r="AB118" s="90"/>
      <c r="AC118" s="97" t="s">
        <v>1023</v>
      </c>
      <c r="AD118" s="97" t="s">
        <v>1254</v>
      </c>
      <c r="AE118" s="90" t="b">
        <v>0</v>
      </c>
      <c r="AF118" s="90">
        <v>0</v>
      </c>
      <c r="AG118" s="97" t="s">
        <v>1371</v>
      </c>
      <c r="AH118" s="90" t="b">
        <v>0</v>
      </c>
      <c r="AI118" s="90" t="s">
        <v>1442</v>
      </c>
      <c r="AJ118" s="90"/>
      <c r="AK118" s="97" t="s">
        <v>1338</v>
      </c>
      <c r="AL118" s="90" t="b">
        <v>0</v>
      </c>
      <c r="AM118" s="90">
        <v>0</v>
      </c>
      <c r="AN118" s="97" t="s">
        <v>1338</v>
      </c>
      <c r="AO118" s="97" t="s">
        <v>1450</v>
      </c>
      <c r="AP118" s="90" t="b">
        <v>0</v>
      </c>
      <c r="AQ118" s="97" t="s">
        <v>1254</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5" t="s">
        <v>268</v>
      </c>
      <c r="B119" s="65" t="s">
        <v>297</v>
      </c>
      <c r="C119" s="66" t="s">
        <v>5817</v>
      </c>
      <c r="D119" s="67">
        <v>1</v>
      </c>
      <c r="E119" s="68" t="s">
        <v>132</v>
      </c>
      <c r="F119" s="69">
        <v>32</v>
      </c>
      <c r="G119" s="66" t="s">
        <v>51</v>
      </c>
      <c r="H119" s="70"/>
      <c r="I119" s="71"/>
      <c r="J119" s="71"/>
      <c r="K119" s="35" t="s">
        <v>65</v>
      </c>
      <c r="L119" s="79">
        <v>119</v>
      </c>
      <c r="M119" s="79"/>
      <c r="N119" s="73"/>
      <c r="O119" s="90" t="s">
        <v>522</v>
      </c>
      <c r="P119" s="93">
        <v>44530.490277777775</v>
      </c>
      <c r="Q119" s="90" t="s">
        <v>572</v>
      </c>
      <c r="R119" s="96" t="str">
        <f>HYPERLINK("https://www.merck.com/docs/product/safety-data-sheets/ah-sds/Ivermectin%20(3.5_pct)%20Formulation_AH_IE_6N.pdf")</f>
        <v>https://www.merck.com/docs/product/safety-data-sheets/ah-sds/Ivermectin%20(3.5_pct)%20Formulation_AH_IE_6N.pdf</v>
      </c>
      <c r="S119" s="90" t="s">
        <v>696</v>
      </c>
      <c r="T119" s="97" t="s">
        <v>712</v>
      </c>
      <c r="U119" s="96" t="str">
        <f>HYPERLINK("https://pbs.twimg.com/media/FFcDBOHWUAgwNdq.jpg")</f>
        <v>https://pbs.twimg.com/media/FFcDBOHWUAgwNdq.jpg</v>
      </c>
      <c r="V119" s="96" t="str">
        <f>HYPERLINK("https://pbs.twimg.com/media/FFcDBOHWUAgwNdq.jpg")</f>
        <v>https://pbs.twimg.com/media/FFcDBOHWUAgwNdq.jpg</v>
      </c>
      <c r="W119" s="93">
        <v>44530.490277777775</v>
      </c>
      <c r="X119" s="100">
        <v>44530</v>
      </c>
      <c r="Y119" s="97" t="s">
        <v>772</v>
      </c>
      <c r="Z119" s="96" t="str">
        <f>HYPERLINK("https://twitter.com/_amr_2/status/1465648302536409088")</f>
        <v>https://twitter.com/_amr_2/status/1465648302536409088</v>
      </c>
      <c r="AA119" s="90"/>
      <c r="AB119" s="90"/>
      <c r="AC119" s="97" t="s">
        <v>1024</v>
      </c>
      <c r="AD119" s="90"/>
      <c r="AE119" s="90" t="b">
        <v>0</v>
      </c>
      <c r="AF119" s="90">
        <v>0</v>
      </c>
      <c r="AG119" s="97" t="s">
        <v>1338</v>
      </c>
      <c r="AH119" s="90" t="b">
        <v>0</v>
      </c>
      <c r="AI119" s="90" t="s">
        <v>1442</v>
      </c>
      <c r="AJ119" s="90"/>
      <c r="AK119" s="97" t="s">
        <v>1338</v>
      </c>
      <c r="AL119" s="90" t="b">
        <v>0</v>
      </c>
      <c r="AM119" s="90">
        <v>2</v>
      </c>
      <c r="AN119" s="97" t="s">
        <v>1075</v>
      </c>
      <c r="AO119" s="97" t="s">
        <v>1450</v>
      </c>
      <c r="AP119" s="90" t="b">
        <v>0</v>
      </c>
      <c r="AQ119" s="97" t="s">
        <v>1075</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2</v>
      </c>
      <c r="BE119" s="89" t="str">
        <f>REPLACE(INDEX(GroupVertices[Group],MATCH(Edges[[#This Row],[Vertex 2]],GroupVertices[Vertex],0)),1,1,"")</f>
        <v>2</v>
      </c>
      <c r="BF119" s="49">
        <v>0</v>
      </c>
      <c r="BG119" s="50">
        <v>0</v>
      </c>
      <c r="BH119" s="49">
        <v>0</v>
      </c>
      <c r="BI119" s="50">
        <v>0</v>
      </c>
      <c r="BJ119" s="49">
        <v>0</v>
      </c>
      <c r="BK119" s="50">
        <v>0</v>
      </c>
      <c r="BL119" s="49">
        <v>25</v>
      </c>
      <c r="BM119" s="50">
        <v>100</v>
      </c>
      <c r="BN119" s="49">
        <v>25</v>
      </c>
    </row>
    <row r="120" spans="1:66" ht="15">
      <c r="A120" s="65" t="s">
        <v>269</v>
      </c>
      <c r="B120" s="65" t="s">
        <v>297</v>
      </c>
      <c r="C120" s="66" t="s">
        <v>5817</v>
      </c>
      <c r="D120" s="67">
        <v>1</v>
      </c>
      <c r="E120" s="68" t="s">
        <v>132</v>
      </c>
      <c r="F120" s="69">
        <v>32</v>
      </c>
      <c r="G120" s="66" t="s">
        <v>51</v>
      </c>
      <c r="H120" s="70"/>
      <c r="I120" s="71"/>
      <c r="J120" s="71"/>
      <c r="K120" s="35" t="s">
        <v>65</v>
      </c>
      <c r="L120" s="79">
        <v>120</v>
      </c>
      <c r="M120" s="79"/>
      <c r="N120" s="73"/>
      <c r="O120" s="90" t="s">
        <v>522</v>
      </c>
      <c r="P120" s="93">
        <v>44530.52153935185</v>
      </c>
      <c r="Q120" s="90" t="s">
        <v>572</v>
      </c>
      <c r="R120" s="96" t="str">
        <f>HYPERLINK("https://www.merck.com/docs/product/safety-data-sheets/ah-sds/Ivermectin%20(3.5_pct)%20Formulation_AH_IE_6N.pdf")</f>
        <v>https://www.merck.com/docs/product/safety-data-sheets/ah-sds/Ivermectin%20(3.5_pct)%20Formulation_AH_IE_6N.pdf</v>
      </c>
      <c r="S120" s="90" t="s">
        <v>696</v>
      </c>
      <c r="T120" s="97" t="s">
        <v>712</v>
      </c>
      <c r="U120" s="96" t="str">
        <f>HYPERLINK("https://pbs.twimg.com/media/FFcDBOHWUAgwNdq.jpg")</f>
        <v>https://pbs.twimg.com/media/FFcDBOHWUAgwNdq.jpg</v>
      </c>
      <c r="V120" s="96" t="str">
        <f>HYPERLINK("https://pbs.twimg.com/media/FFcDBOHWUAgwNdq.jpg")</f>
        <v>https://pbs.twimg.com/media/FFcDBOHWUAgwNdq.jpg</v>
      </c>
      <c r="W120" s="93">
        <v>44530.52153935185</v>
      </c>
      <c r="X120" s="100">
        <v>44530</v>
      </c>
      <c r="Y120" s="97" t="s">
        <v>773</v>
      </c>
      <c r="Z120" s="96" t="str">
        <f>HYPERLINK("https://twitter.com/mikkofabric/status/1465659632647553035")</f>
        <v>https://twitter.com/mikkofabric/status/1465659632647553035</v>
      </c>
      <c r="AA120" s="90"/>
      <c r="AB120" s="90"/>
      <c r="AC120" s="97" t="s">
        <v>1025</v>
      </c>
      <c r="AD120" s="90"/>
      <c r="AE120" s="90" t="b">
        <v>0</v>
      </c>
      <c r="AF120" s="90">
        <v>0</v>
      </c>
      <c r="AG120" s="97" t="s">
        <v>1338</v>
      </c>
      <c r="AH120" s="90" t="b">
        <v>0</v>
      </c>
      <c r="AI120" s="90" t="s">
        <v>1442</v>
      </c>
      <c r="AJ120" s="90"/>
      <c r="AK120" s="97" t="s">
        <v>1338</v>
      </c>
      <c r="AL120" s="90" t="b">
        <v>0</v>
      </c>
      <c r="AM120" s="90">
        <v>2</v>
      </c>
      <c r="AN120" s="97" t="s">
        <v>1075</v>
      </c>
      <c r="AO120" s="97" t="s">
        <v>1451</v>
      </c>
      <c r="AP120" s="90" t="b">
        <v>0</v>
      </c>
      <c r="AQ120" s="97" t="s">
        <v>1075</v>
      </c>
      <c r="AR120" s="90" t="s">
        <v>187</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2</v>
      </c>
      <c r="BF120" s="49">
        <v>0</v>
      </c>
      <c r="BG120" s="50">
        <v>0</v>
      </c>
      <c r="BH120" s="49">
        <v>0</v>
      </c>
      <c r="BI120" s="50">
        <v>0</v>
      </c>
      <c r="BJ120" s="49">
        <v>0</v>
      </c>
      <c r="BK120" s="50">
        <v>0</v>
      </c>
      <c r="BL120" s="49">
        <v>25</v>
      </c>
      <c r="BM120" s="50">
        <v>100</v>
      </c>
      <c r="BN120" s="49">
        <v>25</v>
      </c>
    </row>
    <row r="121" spans="1:66" ht="15">
      <c r="A121" s="65" t="s">
        <v>270</v>
      </c>
      <c r="B121" s="65" t="s">
        <v>425</v>
      </c>
      <c r="C121" s="66" t="s">
        <v>5817</v>
      </c>
      <c r="D121" s="67">
        <v>1</v>
      </c>
      <c r="E121" s="68" t="s">
        <v>132</v>
      </c>
      <c r="F121" s="69">
        <v>32</v>
      </c>
      <c r="G121" s="66" t="s">
        <v>51</v>
      </c>
      <c r="H121" s="70"/>
      <c r="I121" s="71"/>
      <c r="J121" s="71"/>
      <c r="K121" s="35" t="s">
        <v>65</v>
      </c>
      <c r="L121" s="79">
        <v>121</v>
      </c>
      <c r="M121" s="79"/>
      <c r="N121" s="73"/>
      <c r="O121" s="90" t="s">
        <v>524</v>
      </c>
      <c r="P121" s="93">
        <v>44526.548263888886</v>
      </c>
      <c r="Q121" s="90" t="s">
        <v>573</v>
      </c>
      <c r="R121" s="90"/>
      <c r="S121" s="90"/>
      <c r="T121" s="90"/>
      <c r="U121" s="90"/>
      <c r="V121" s="96" t="str">
        <f>HYPERLINK("https://pbs.twimg.com/profile_images/1457292237872713730/qUfcEQk6_normal.png")</f>
        <v>https://pbs.twimg.com/profile_images/1457292237872713730/qUfcEQk6_normal.png</v>
      </c>
      <c r="W121" s="93">
        <v>44526.548263888886</v>
      </c>
      <c r="X121" s="100">
        <v>44526</v>
      </c>
      <c r="Y121" s="97" t="s">
        <v>774</v>
      </c>
      <c r="Z121" s="96" t="str">
        <f>HYPERLINK("https://twitter.com/paulapauleena/status/1464219766583963651")</f>
        <v>https://twitter.com/paulapauleena/status/1464219766583963651</v>
      </c>
      <c r="AA121" s="90"/>
      <c r="AB121" s="90"/>
      <c r="AC121" s="97" t="s">
        <v>1026</v>
      </c>
      <c r="AD121" s="97" t="s">
        <v>1255</v>
      </c>
      <c r="AE121" s="90" t="b">
        <v>0</v>
      </c>
      <c r="AF121" s="90">
        <v>0</v>
      </c>
      <c r="AG121" s="97" t="s">
        <v>1372</v>
      </c>
      <c r="AH121" s="90" t="b">
        <v>0</v>
      </c>
      <c r="AI121" s="90" t="s">
        <v>1442</v>
      </c>
      <c r="AJ121" s="90"/>
      <c r="AK121" s="97" t="s">
        <v>1338</v>
      </c>
      <c r="AL121" s="90" t="b">
        <v>0</v>
      </c>
      <c r="AM121" s="90">
        <v>0</v>
      </c>
      <c r="AN121" s="97" t="s">
        <v>1338</v>
      </c>
      <c r="AO121" s="97" t="s">
        <v>1450</v>
      </c>
      <c r="AP121" s="90" t="b">
        <v>0</v>
      </c>
      <c r="AQ121" s="97" t="s">
        <v>1255</v>
      </c>
      <c r="AR121" s="90" t="s">
        <v>187</v>
      </c>
      <c r="AS121" s="90">
        <v>0</v>
      </c>
      <c r="AT121" s="90">
        <v>0</v>
      </c>
      <c r="AU121" s="90"/>
      <c r="AV121" s="90"/>
      <c r="AW121" s="90"/>
      <c r="AX121" s="90"/>
      <c r="AY121" s="90"/>
      <c r="AZ121" s="90"/>
      <c r="BA121" s="90"/>
      <c r="BB121" s="90"/>
      <c r="BC121">
        <v>1</v>
      </c>
      <c r="BD121" s="89" t="str">
        <f>REPLACE(INDEX(GroupVertices[Group],MATCH(Edges[[#This Row],[Vertex 1]],GroupVertices[Vertex],0)),1,1,"")</f>
        <v>4</v>
      </c>
      <c r="BE121" s="89" t="str">
        <f>REPLACE(INDEX(GroupVertices[Group],MATCH(Edges[[#This Row],[Vertex 2]],GroupVertices[Vertex],0)),1,1,"")</f>
        <v>4</v>
      </c>
      <c r="BF121" s="49"/>
      <c r="BG121" s="50"/>
      <c r="BH121" s="49"/>
      <c r="BI121" s="50"/>
      <c r="BJ121" s="49"/>
      <c r="BK121" s="50"/>
      <c r="BL121" s="49"/>
      <c r="BM121" s="50"/>
      <c r="BN121" s="49"/>
    </row>
    <row r="122" spans="1:66" ht="15">
      <c r="A122" s="65" t="s">
        <v>270</v>
      </c>
      <c r="B122" s="65" t="s">
        <v>426</v>
      </c>
      <c r="C122" s="66" t="s">
        <v>5817</v>
      </c>
      <c r="D122" s="67">
        <v>1</v>
      </c>
      <c r="E122" s="68" t="s">
        <v>132</v>
      </c>
      <c r="F122" s="69">
        <v>32</v>
      </c>
      <c r="G122" s="66" t="s">
        <v>51</v>
      </c>
      <c r="H122" s="70"/>
      <c r="I122" s="71"/>
      <c r="J122" s="71"/>
      <c r="K122" s="35" t="s">
        <v>65</v>
      </c>
      <c r="L122" s="79">
        <v>122</v>
      </c>
      <c r="M122" s="79"/>
      <c r="N122" s="73"/>
      <c r="O122" s="90" t="s">
        <v>523</v>
      </c>
      <c r="P122" s="93">
        <v>44526.548263888886</v>
      </c>
      <c r="Q122" s="90" t="s">
        <v>573</v>
      </c>
      <c r="R122" s="90"/>
      <c r="S122" s="90"/>
      <c r="T122" s="90"/>
      <c r="U122" s="90"/>
      <c r="V122" s="96" t="str">
        <f>HYPERLINK("https://pbs.twimg.com/profile_images/1457292237872713730/qUfcEQk6_normal.png")</f>
        <v>https://pbs.twimg.com/profile_images/1457292237872713730/qUfcEQk6_normal.png</v>
      </c>
      <c r="W122" s="93">
        <v>44526.548263888886</v>
      </c>
      <c r="X122" s="100">
        <v>44526</v>
      </c>
      <c r="Y122" s="97" t="s">
        <v>774</v>
      </c>
      <c r="Z122" s="96" t="str">
        <f>HYPERLINK("https://twitter.com/paulapauleena/status/1464219766583963651")</f>
        <v>https://twitter.com/paulapauleena/status/1464219766583963651</v>
      </c>
      <c r="AA122" s="90"/>
      <c r="AB122" s="90"/>
      <c r="AC122" s="97" t="s">
        <v>1026</v>
      </c>
      <c r="AD122" s="97" t="s">
        <v>1255</v>
      </c>
      <c r="AE122" s="90" t="b">
        <v>0</v>
      </c>
      <c r="AF122" s="90">
        <v>0</v>
      </c>
      <c r="AG122" s="97" t="s">
        <v>1372</v>
      </c>
      <c r="AH122" s="90" t="b">
        <v>0</v>
      </c>
      <c r="AI122" s="90" t="s">
        <v>1442</v>
      </c>
      <c r="AJ122" s="90"/>
      <c r="AK122" s="97" t="s">
        <v>1338</v>
      </c>
      <c r="AL122" s="90" t="b">
        <v>0</v>
      </c>
      <c r="AM122" s="90">
        <v>0</v>
      </c>
      <c r="AN122" s="97" t="s">
        <v>1338</v>
      </c>
      <c r="AO122" s="97" t="s">
        <v>1450</v>
      </c>
      <c r="AP122" s="90" t="b">
        <v>0</v>
      </c>
      <c r="AQ122" s="97" t="s">
        <v>1255</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4</v>
      </c>
      <c r="BE122" s="89" t="str">
        <f>REPLACE(INDEX(GroupVertices[Group],MATCH(Edges[[#This Row],[Vertex 2]],GroupVertices[Vertex],0)),1,1,"")</f>
        <v>4</v>
      </c>
      <c r="BF122" s="49">
        <v>0</v>
      </c>
      <c r="BG122" s="50">
        <v>0</v>
      </c>
      <c r="BH122" s="49">
        <v>0</v>
      </c>
      <c r="BI122" s="50">
        <v>0</v>
      </c>
      <c r="BJ122" s="49">
        <v>0</v>
      </c>
      <c r="BK122" s="50">
        <v>0</v>
      </c>
      <c r="BL122" s="49">
        <v>25</v>
      </c>
      <c r="BM122" s="50">
        <v>100</v>
      </c>
      <c r="BN122" s="49">
        <v>25</v>
      </c>
    </row>
    <row r="123" spans="1:66" ht="15">
      <c r="A123" s="65" t="s">
        <v>270</v>
      </c>
      <c r="B123" s="65" t="s">
        <v>427</v>
      </c>
      <c r="C123" s="66" t="s">
        <v>5817</v>
      </c>
      <c r="D123" s="67">
        <v>1</v>
      </c>
      <c r="E123" s="68" t="s">
        <v>132</v>
      </c>
      <c r="F123" s="69">
        <v>32</v>
      </c>
      <c r="G123" s="66" t="s">
        <v>51</v>
      </c>
      <c r="H123" s="70"/>
      <c r="I123" s="71"/>
      <c r="J123" s="71"/>
      <c r="K123" s="35" t="s">
        <v>65</v>
      </c>
      <c r="L123" s="79">
        <v>123</v>
      </c>
      <c r="M123" s="79"/>
      <c r="N123" s="73"/>
      <c r="O123" s="90" t="s">
        <v>524</v>
      </c>
      <c r="P123" s="93">
        <v>44530.589375</v>
      </c>
      <c r="Q123" s="90" t="s">
        <v>574</v>
      </c>
      <c r="R123" s="90"/>
      <c r="S123" s="90"/>
      <c r="T123" s="90"/>
      <c r="U123" s="90"/>
      <c r="V123" s="96" t="str">
        <f>HYPERLINK("https://pbs.twimg.com/profile_images/1457292237872713730/qUfcEQk6_normal.png")</f>
        <v>https://pbs.twimg.com/profile_images/1457292237872713730/qUfcEQk6_normal.png</v>
      </c>
      <c r="W123" s="93">
        <v>44530.589375</v>
      </c>
      <c r="X123" s="100">
        <v>44530</v>
      </c>
      <c r="Y123" s="97" t="s">
        <v>775</v>
      </c>
      <c r="Z123" s="96" t="str">
        <f>HYPERLINK("https://twitter.com/paulapauleena/status/1465684214544846857")</f>
        <v>https://twitter.com/paulapauleena/status/1465684214544846857</v>
      </c>
      <c r="AA123" s="90"/>
      <c r="AB123" s="90"/>
      <c r="AC123" s="97" t="s">
        <v>1027</v>
      </c>
      <c r="AD123" s="97" t="s">
        <v>1256</v>
      </c>
      <c r="AE123" s="90" t="b">
        <v>0</v>
      </c>
      <c r="AF123" s="90">
        <v>0</v>
      </c>
      <c r="AG123" s="97" t="s">
        <v>1373</v>
      </c>
      <c r="AH123" s="90" t="b">
        <v>0</v>
      </c>
      <c r="AI123" s="90" t="s">
        <v>1442</v>
      </c>
      <c r="AJ123" s="90"/>
      <c r="AK123" s="97" t="s">
        <v>1338</v>
      </c>
      <c r="AL123" s="90" t="b">
        <v>0</v>
      </c>
      <c r="AM123" s="90">
        <v>0</v>
      </c>
      <c r="AN123" s="97" t="s">
        <v>1338</v>
      </c>
      <c r="AO123" s="97" t="s">
        <v>1450</v>
      </c>
      <c r="AP123" s="90" t="b">
        <v>0</v>
      </c>
      <c r="AQ123" s="97" t="s">
        <v>1256</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4</v>
      </c>
      <c r="BE123" s="89" t="str">
        <f>REPLACE(INDEX(GroupVertices[Group],MATCH(Edges[[#This Row],[Vertex 2]],GroupVertices[Vertex],0)),1,1,"")</f>
        <v>4</v>
      </c>
      <c r="BF123" s="49"/>
      <c r="BG123" s="50"/>
      <c r="BH123" s="49"/>
      <c r="BI123" s="50"/>
      <c r="BJ123" s="49"/>
      <c r="BK123" s="50"/>
      <c r="BL123" s="49"/>
      <c r="BM123" s="50"/>
      <c r="BN123" s="49"/>
    </row>
    <row r="124" spans="1:66" ht="15">
      <c r="A124" s="65" t="s">
        <v>270</v>
      </c>
      <c r="B124" s="65" t="s">
        <v>428</v>
      </c>
      <c r="C124" s="66" t="s">
        <v>5817</v>
      </c>
      <c r="D124" s="67">
        <v>1</v>
      </c>
      <c r="E124" s="68" t="s">
        <v>132</v>
      </c>
      <c r="F124" s="69">
        <v>32</v>
      </c>
      <c r="G124" s="66" t="s">
        <v>51</v>
      </c>
      <c r="H124" s="70"/>
      <c r="I124" s="71"/>
      <c r="J124" s="71"/>
      <c r="K124" s="35" t="s">
        <v>65</v>
      </c>
      <c r="L124" s="79">
        <v>124</v>
      </c>
      <c r="M124" s="79"/>
      <c r="N124" s="73"/>
      <c r="O124" s="90" t="s">
        <v>523</v>
      </c>
      <c r="P124" s="93">
        <v>44530.589375</v>
      </c>
      <c r="Q124" s="90" t="s">
        <v>574</v>
      </c>
      <c r="R124" s="90"/>
      <c r="S124" s="90"/>
      <c r="T124" s="90"/>
      <c r="U124" s="90"/>
      <c r="V124" s="96" t="str">
        <f>HYPERLINK("https://pbs.twimg.com/profile_images/1457292237872713730/qUfcEQk6_normal.png")</f>
        <v>https://pbs.twimg.com/profile_images/1457292237872713730/qUfcEQk6_normal.png</v>
      </c>
      <c r="W124" s="93">
        <v>44530.589375</v>
      </c>
      <c r="X124" s="100">
        <v>44530</v>
      </c>
      <c r="Y124" s="97" t="s">
        <v>775</v>
      </c>
      <c r="Z124" s="96" t="str">
        <f>HYPERLINK("https://twitter.com/paulapauleena/status/1465684214544846857")</f>
        <v>https://twitter.com/paulapauleena/status/1465684214544846857</v>
      </c>
      <c r="AA124" s="90"/>
      <c r="AB124" s="90"/>
      <c r="AC124" s="97" t="s">
        <v>1027</v>
      </c>
      <c r="AD124" s="97" t="s">
        <v>1256</v>
      </c>
      <c r="AE124" s="90" t="b">
        <v>0</v>
      </c>
      <c r="AF124" s="90">
        <v>0</v>
      </c>
      <c r="AG124" s="97" t="s">
        <v>1373</v>
      </c>
      <c r="AH124" s="90" t="b">
        <v>0</v>
      </c>
      <c r="AI124" s="90" t="s">
        <v>1442</v>
      </c>
      <c r="AJ124" s="90"/>
      <c r="AK124" s="97" t="s">
        <v>1338</v>
      </c>
      <c r="AL124" s="90" t="b">
        <v>0</v>
      </c>
      <c r="AM124" s="90">
        <v>0</v>
      </c>
      <c r="AN124" s="97" t="s">
        <v>1338</v>
      </c>
      <c r="AO124" s="97" t="s">
        <v>1450</v>
      </c>
      <c r="AP124" s="90" t="b">
        <v>0</v>
      </c>
      <c r="AQ124" s="97" t="s">
        <v>1256</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4</v>
      </c>
      <c r="BE124" s="89" t="str">
        <f>REPLACE(INDEX(GroupVertices[Group],MATCH(Edges[[#This Row],[Vertex 2]],GroupVertices[Vertex],0)),1,1,"")</f>
        <v>4</v>
      </c>
      <c r="BF124" s="49">
        <v>0</v>
      </c>
      <c r="BG124" s="50">
        <v>0</v>
      </c>
      <c r="BH124" s="49">
        <v>0</v>
      </c>
      <c r="BI124" s="50">
        <v>0</v>
      </c>
      <c r="BJ124" s="49">
        <v>0</v>
      </c>
      <c r="BK124" s="50">
        <v>0</v>
      </c>
      <c r="BL124" s="49">
        <v>36</v>
      </c>
      <c r="BM124" s="50">
        <v>100</v>
      </c>
      <c r="BN124" s="49">
        <v>36</v>
      </c>
    </row>
    <row r="125" spans="1:66" ht="15">
      <c r="A125" s="65" t="s">
        <v>270</v>
      </c>
      <c r="B125" s="65" t="s">
        <v>429</v>
      </c>
      <c r="C125" s="66" t="s">
        <v>5817</v>
      </c>
      <c r="D125" s="67">
        <v>1</v>
      </c>
      <c r="E125" s="68" t="s">
        <v>132</v>
      </c>
      <c r="F125" s="69">
        <v>32</v>
      </c>
      <c r="G125" s="66" t="s">
        <v>51</v>
      </c>
      <c r="H125" s="70"/>
      <c r="I125" s="71"/>
      <c r="J125" s="71"/>
      <c r="K125" s="35" t="s">
        <v>65</v>
      </c>
      <c r="L125" s="79">
        <v>125</v>
      </c>
      <c r="M125" s="79"/>
      <c r="N125" s="73"/>
      <c r="O125" s="90" t="s">
        <v>523</v>
      </c>
      <c r="P125" s="93">
        <v>44527.700104166666</v>
      </c>
      <c r="Q125" s="90" t="s">
        <v>575</v>
      </c>
      <c r="R125" s="90"/>
      <c r="S125" s="90"/>
      <c r="T125" s="90"/>
      <c r="U125" s="90"/>
      <c r="V125" s="96" t="str">
        <f>HYPERLINK("https://pbs.twimg.com/profile_images/1457292237872713730/qUfcEQk6_normal.png")</f>
        <v>https://pbs.twimg.com/profile_images/1457292237872713730/qUfcEQk6_normal.png</v>
      </c>
      <c r="W125" s="93">
        <v>44527.700104166666</v>
      </c>
      <c r="X125" s="100">
        <v>44527</v>
      </c>
      <c r="Y125" s="97" t="s">
        <v>776</v>
      </c>
      <c r="Z125" s="96" t="str">
        <f>HYPERLINK("https://twitter.com/paulapauleena/status/1464637176176513029")</f>
        <v>https://twitter.com/paulapauleena/status/1464637176176513029</v>
      </c>
      <c r="AA125" s="90"/>
      <c r="AB125" s="90"/>
      <c r="AC125" s="97" t="s">
        <v>1028</v>
      </c>
      <c r="AD125" s="97" t="s">
        <v>1257</v>
      </c>
      <c r="AE125" s="90" t="b">
        <v>0</v>
      </c>
      <c r="AF125" s="90">
        <v>1</v>
      </c>
      <c r="AG125" s="97" t="s">
        <v>1374</v>
      </c>
      <c r="AH125" s="90" t="b">
        <v>0</v>
      </c>
      <c r="AI125" s="90" t="s">
        <v>1442</v>
      </c>
      <c r="AJ125" s="90"/>
      <c r="AK125" s="97" t="s">
        <v>1338</v>
      </c>
      <c r="AL125" s="90" t="b">
        <v>0</v>
      </c>
      <c r="AM125" s="90">
        <v>0</v>
      </c>
      <c r="AN125" s="97" t="s">
        <v>1338</v>
      </c>
      <c r="AO125" s="97" t="s">
        <v>1450</v>
      </c>
      <c r="AP125" s="90" t="b">
        <v>0</v>
      </c>
      <c r="AQ125" s="97" t="s">
        <v>1257</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4</v>
      </c>
      <c r="BE125" s="89" t="str">
        <f>REPLACE(INDEX(GroupVertices[Group],MATCH(Edges[[#This Row],[Vertex 2]],GroupVertices[Vertex],0)),1,1,"")</f>
        <v>4</v>
      </c>
      <c r="BF125" s="49">
        <v>0</v>
      </c>
      <c r="BG125" s="50">
        <v>0</v>
      </c>
      <c r="BH125" s="49">
        <v>0</v>
      </c>
      <c r="BI125" s="50">
        <v>0</v>
      </c>
      <c r="BJ125" s="49">
        <v>0</v>
      </c>
      <c r="BK125" s="50">
        <v>0</v>
      </c>
      <c r="BL125" s="49">
        <v>36</v>
      </c>
      <c r="BM125" s="50">
        <v>100</v>
      </c>
      <c r="BN125" s="49">
        <v>36</v>
      </c>
    </row>
    <row r="126" spans="1:66" ht="15">
      <c r="A126" s="65" t="s">
        <v>271</v>
      </c>
      <c r="B126" s="65" t="s">
        <v>430</v>
      </c>
      <c r="C126" s="66" t="s">
        <v>5817</v>
      </c>
      <c r="D126" s="67">
        <v>1</v>
      </c>
      <c r="E126" s="68" t="s">
        <v>132</v>
      </c>
      <c r="F126" s="69">
        <v>32</v>
      </c>
      <c r="G126" s="66" t="s">
        <v>51</v>
      </c>
      <c r="H126" s="70"/>
      <c r="I126" s="71"/>
      <c r="J126" s="71"/>
      <c r="K126" s="35" t="s">
        <v>65</v>
      </c>
      <c r="L126" s="79">
        <v>126</v>
      </c>
      <c r="M126" s="79"/>
      <c r="N126" s="73"/>
      <c r="O126" s="90" t="s">
        <v>525</v>
      </c>
      <c r="P126" s="93">
        <v>44530.65519675926</v>
      </c>
      <c r="Q126" s="90" t="s">
        <v>576</v>
      </c>
      <c r="R126" s="90"/>
      <c r="S126" s="90"/>
      <c r="T126" s="97" t="s">
        <v>712</v>
      </c>
      <c r="U126" s="96" t="str">
        <f>HYPERLINK("https://pbs.twimg.com/media/FFc5qVTVQAkWXE2.jpg")</f>
        <v>https://pbs.twimg.com/media/FFc5qVTVQAkWXE2.jpg</v>
      </c>
      <c r="V126" s="96" t="str">
        <f>HYPERLINK("https://pbs.twimg.com/media/FFc5qVTVQAkWXE2.jpg")</f>
        <v>https://pbs.twimg.com/media/FFc5qVTVQAkWXE2.jpg</v>
      </c>
      <c r="W126" s="93">
        <v>44530.65519675926</v>
      </c>
      <c r="X126" s="100">
        <v>44530</v>
      </c>
      <c r="Y126" s="97" t="s">
        <v>777</v>
      </c>
      <c r="Z126" s="96" t="str">
        <f>HYPERLINK("https://twitter.com/apekanerva/status/1465708068902039552")</f>
        <v>https://twitter.com/apekanerva/status/1465708068902039552</v>
      </c>
      <c r="AA126" s="90"/>
      <c r="AB126" s="90"/>
      <c r="AC126" s="97" t="s">
        <v>1029</v>
      </c>
      <c r="AD126" s="90"/>
      <c r="AE126" s="90" t="b">
        <v>0</v>
      </c>
      <c r="AF126" s="90">
        <v>0</v>
      </c>
      <c r="AG126" s="97" t="s">
        <v>1338</v>
      </c>
      <c r="AH126" s="90" t="b">
        <v>0</v>
      </c>
      <c r="AI126" s="90" t="s">
        <v>1442</v>
      </c>
      <c r="AJ126" s="90"/>
      <c r="AK126" s="97" t="s">
        <v>1338</v>
      </c>
      <c r="AL126" s="90" t="b">
        <v>0</v>
      </c>
      <c r="AM126" s="90">
        <v>18</v>
      </c>
      <c r="AN126" s="97" t="s">
        <v>1196</v>
      </c>
      <c r="AO126" s="97" t="s">
        <v>1450</v>
      </c>
      <c r="AP126" s="90" t="b">
        <v>0</v>
      </c>
      <c r="AQ126" s="97" t="s">
        <v>1196</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9</v>
      </c>
      <c r="BE126" s="89" t="str">
        <f>REPLACE(INDEX(GroupVertices[Group],MATCH(Edges[[#This Row],[Vertex 2]],GroupVertices[Vertex],0)),1,1,"")</f>
        <v>3</v>
      </c>
      <c r="BF126" s="49"/>
      <c r="BG126" s="50"/>
      <c r="BH126" s="49"/>
      <c r="BI126" s="50"/>
      <c r="BJ126" s="49"/>
      <c r="BK126" s="50"/>
      <c r="BL126" s="49"/>
      <c r="BM126" s="50"/>
      <c r="BN126" s="49"/>
    </row>
    <row r="127" spans="1:66" ht="15">
      <c r="A127" s="65" t="s">
        <v>271</v>
      </c>
      <c r="B127" s="65" t="s">
        <v>431</v>
      </c>
      <c r="C127" s="66" t="s">
        <v>5817</v>
      </c>
      <c r="D127" s="67">
        <v>1</v>
      </c>
      <c r="E127" s="68" t="s">
        <v>132</v>
      </c>
      <c r="F127" s="69">
        <v>32</v>
      </c>
      <c r="G127" s="66" t="s">
        <v>51</v>
      </c>
      <c r="H127" s="70"/>
      <c r="I127" s="71"/>
      <c r="J127" s="71"/>
      <c r="K127" s="35" t="s">
        <v>65</v>
      </c>
      <c r="L127" s="79">
        <v>127</v>
      </c>
      <c r="M127" s="79"/>
      <c r="N127" s="73"/>
      <c r="O127" s="90" t="s">
        <v>525</v>
      </c>
      <c r="P127" s="93">
        <v>44530.65519675926</v>
      </c>
      <c r="Q127" s="90" t="s">
        <v>576</v>
      </c>
      <c r="R127" s="90"/>
      <c r="S127" s="90"/>
      <c r="T127" s="97" t="s">
        <v>712</v>
      </c>
      <c r="U127" s="96" t="str">
        <f>HYPERLINK("https://pbs.twimg.com/media/FFc5qVTVQAkWXE2.jpg")</f>
        <v>https://pbs.twimg.com/media/FFc5qVTVQAkWXE2.jpg</v>
      </c>
      <c r="V127" s="96" t="str">
        <f>HYPERLINK("https://pbs.twimg.com/media/FFc5qVTVQAkWXE2.jpg")</f>
        <v>https://pbs.twimg.com/media/FFc5qVTVQAkWXE2.jpg</v>
      </c>
      <c r="W127" s="93">
        <v>44530.65519675926</v>
      </c>
      <c r="X127" s="100">
        <v>44530</v>
      </c>
      <c r="Y127" s="97" t="s">
        <v>777</v>
      </c>
      <c r="Z127" s="96" t="str">
        <f>HYPERLINK("https://twitter.com/apekanerva/status/1465708068902039552")</f>
        <v>https://twitter.com/apekanerva/status/1465708068902039552</v>
      </c>
      <c r="AA127" s="90"/>
      <c r="AB127" s="90"/>
      <c r="AC127" s="97" t="s">
        <v>1029</v>
      </c>
      <c r="AD127" s="90"/>
      <c r="AE127" s="90" t="b">
        <v>0</v>
      </c>
      <c r="AF127" s="90">
        <v>0</v>
      </c>
      <c r="AG127" s="97" t="s">
        <v>1338</v>
      </c>
      <c r="AH127" s="90" t="b">
        <v>0</v>
      </c>
      <c r="AI127" s="90" t="s">
        <v>1442</v>
      </c>
      <c r="AJ127" s="90"/>
      <c r="AK127" s="97" t="s">
        <v>1338</v>
      </c>
      <c r="AL127" s="90" t="b">
        <v>0</v>
      </c>
      <c r="AM127" s="90">
        <v>18</v>
      </c>
      <c r="AN127" s="97" t="s">
        <v>1196</v>
      </c>
      <c r="AO127" s="97" t="s">
        <v>1450</v>
      </c>
      <c r="AP127" s="90" t="b">
        <v>0</v>
      </c>
      <c r="AQ127" s="97" t="s">
        <v>1196</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9</v>
      </c>
      <c r="BE127" s="89" t="str">
        <f>REPLACE(INDEX(GroupVertices[Group],MATCH(Edges[[#This Row],[Vertex 2]],GroupVertices[Vertex],0)),1,1,"")</f>
        <v>3</v>
      </c>
      <c r="BF127" s="49"/>
      <c r="BG127" s="50"/>
      <c r="BH127" s="49"/>
      <c r="BI127" s="50"/>
      <c r="BJ127" s="49"/>
      <c r="BK127" s="50"/>
      <c r="BL127" s="49"/>
      <c r="BM127" s="50"/>
      <c r="BN127" s="49"/>
    </row>
    <row r="128" spans="1:66" ht="15">
      <c r="A128" s="65" t="s">
        <v>271</v>
      </c>
      <c r="B128" s="65" t="s">
        <v>368</v>
      </c>
      <c r="C128" s="66" t="s">
        <v>5817</v>
      </c>
      <c r="D128" s="67">
        <v>1</v>
      </c>
      <c r="E128" s="68" t="s">
        <v>132</v>
      </c>
      <c r="F128" s="69">
        <v>32</v>
      </c>
      <c r="G128" s="66" t="s">
        <v>51</v>
      </c>
      <c r="H128" s="70"/>
      <c r="I128" s="71"/>
      <c r="J128" s="71"/>
      <c r="K128" s="35" t="s">
        <v>65</v>
      </c>
      <c r="L128" s="79">
        <v>128</v>
      </c>
      <c r="M128" s="79"/>
      <c r="N128" s="73"/>
      <c r="O128" s="90" t="s">
        <v>522</v>
      </c>
      <c r="P128" s="93">
        <v>44530.65519675926</v>
      </c>
      <c r="Q128" s="90" t="s">
        <v>576</v>
      </c>
      <c r="R128" s="90"/>
      <c r="S128" s="90"/>
      <c r="T128" s="97" t="s">
        <v>712</v>
      </c>
      <c r="U128" s="96" t="str">
        <f>HYPERLINK("https://pbs.twimg.com/media/FFc5qVTVQAkWXE2.jpg")</f>
        <v>https://pbs.twimg.com/media/FFc5qVTVQAkWXE2.jpg</v>
      </c>
      <c r="V128" s="96" t="str">
        <f>HYPERLINK("https://pbs.twimg.com/media/FFc5qVTVQAkWXE2.jpg")</f>
        <v>https://pbs.twimg.com/media/FFc5qVTVQAkWXE2.jpg</v>
      </c>
      <c r="W128" s="93">
        <v>44530.65519675926</v>
      </c>
      <c r="X128" s="100">
        <v>44530</v>
      </c>
      <c r="Y128" s="97" t="s">
        <v>777</v>
      </c>
      <c r="Z128" s="96" t="str">
        <f>HYPERLINK("https://twitter.com/apekanerva/status/1465708068902039552")</f>
        <v>https://twitter.com/apekanerva/status/1465708068902039552</v>
      </c>
      <c r="AA128" s="90"/>
      <c r="AB128" s="90"/>
      <c r="AC128" s="97" t="s">
        <v>1029</v>
      </c>
      <c r="AD128" s="90"/>
      <c r="AE128" s="90" t="b">
        <v>0</v>
      </c>
      <c r="AF128" s="90">
        <v>0</v>
      </c>
      <c r="AG128" s="97" t="s">
        <v>1338</v>
      </c>
      <c r="AH128" s="90" t="b">
        <v>0</v>
      </c>
      <c r="AI128" s="90" t="s">
        <v>1442</v>
      </c>
      <c r="AJ128" s="90"/>
      <c r="AK128" s="97" t="s">
        <v>1338</v>
      </c>
      <c r="AL128" s="90" t="b">
        <v>0</v>
      </c>
      <c r="AM128" s="90">
        <v>18</v>
      </c>
      <c r="AN128" s="97" t="s">
        <v>1196</v>
      </c>
      <c r="AO128" s="97" t="s">
        <v>1450</v>
      </c>
      <c r="AP128" s="90" t="b">
        <v>0</v>
      </c>
      <c r="AQ128" s="97" t="s">
        <v>1196</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9</v>
      </c>
      <c r="BE128" s="89"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5" t="s">
        <v>272</v>
      </c>
      <c r="B129" s="65" t="s">
        <v>430</v>
      </c>
      <c r="C129" s="66" t="s">
        <v>5817</v>
      </c>
      <c r="D129" s="67">
        <v>1</v>
      </c>
      <c r="E129" s="68" t="s">
        <v>132</v>
      </c>
      <c r="F129" s="69">
        <v>32</v>
      </c>
      <c r="G129" s="66" t="s">
        <v>51</v>
      </c>
      <c r="H129" s="70"/>
      <c r="I129" s="71"/>
      <c r="J129" s="71"/>
      <c r="K129" s="35" t="s">
        <v>65</v>
      </c>
      <c r="L129" s="79">
        <v>129</v>
      </c>
      <c r="M129" s="79"/>
      <c r="N129" s="73"/>
      <c r="O129" s="90" t="s">
        <v>525</v>
      </c>
      <c r="P129" s="93">
        <v>44530.713738425926</v>
      </c>
      <c r="Q129" s="90" t="s">
        <v>576</v>
      </c>
      <c r="R129" s="90"/>
      <c r="S129" s="90"/>
      <c r="T129" s="97" t="s">
        <v>712</v>
      </c>
      <c r="U129" s="96" t="str">
        <f>HYPERLINK("https://pbs.twimg.com/media/FFc5qVTVQAkWXE2.jpg")</f>
        <v>https://pbs.twimg.com/media/FFc5qVTVQAkWXE2.jpg</v>
      </c>
      <c r="V129" s="96" t="str">
        <f>HYPERLINK("https://pbs.twimg.com/media/FFc5qVTVQAkWXE2.jpg")</f>
        <v>https://pbs.twimg.com/media/FFc5qVTVQAkWXE2.jpg</v>
      </c>
      <c r="W129" s="93">
        <v>44530.713738425926</v>
      </c>
      <c r="X129" s="100">
        <v>44530</v>
      </c>
      <c r="Y129" s="97" t="s">
        <v>778</v>
      </c>
      <c r="Z129" s="96" t="str">
        <f>HYPERLINK("https://twitter.com/ardenorde/status/1465729284300054541")</f>
        <v>https://twitter.com/ardenorde/status/1465729284300054541</v>
      </c>
      <c r="AA129" s="90"/>
      <c r="AB129" s="90"/>
      <c r="AC129" s="97" t="s">
        <v>1030</v>
      </c>
      <c r="AD129" s="90"/>
      <c r="AE129" s="90" t="b">
        <v>0</v>
      </c>
      <c r="AF129" s="90">
        <v>0</v>
      </c>
      <c r="AG129" s="97" t="s">
        <v>1338</v>
      </c>
      <c r="AH129" s="90" t="b">
        <v>0</v>
      </c>
      <c r="AI129" s="90" t="s">
        <v>1442</v>
      </c>
      <c r="AJ129" s="90"/>
      <c r="AK129" s="97" t="s">
        <v>1338</v>
      </c>
      <c r="AL129" s="90" t="b">
        <v>0</v>
      </c>
      <c r="AM129" s="90">
        <v>18</v>
      </c>
      <c r="AN129" s="97" t="s">
        <v>1196</v>
      </c>
      <c r="AO129" s="97" t="s">
        <v>1450</v>
      </c>
      <c r="AP129" s="90" t="b">
        <v>0</v>
      </c>
      <c r="AQ129" s="97" t="s">
        <v>1196</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3</v>
      </c>
      <c r="BE129" s="89" t="str">
        <f>REPLACE(INDEX(GroupVertices[Group],MATCH(Edges[[#This Row],[Vertex 2]],GroupVertices[Vertex],0)),1,1,"")</f>
        <v>3</v>
      </c>
      <c r="BF129" s="49"/>
      <c r="BG129" s="50"/>
      <c r="BH129" s="49"/>
      <c r="BI129" s="50"/>
      <c r="BJ129" s="49"/>
      <c r="BK129" s="50"/>
      <c r="BL129" s="49"/>
      <c r="BM129" s="50"/>
      <c r="BN129" s="49"/>
    </row>
    <row r="130" spans="1:66" ht="15">
      <c r="A130" s="65" t="s">
        <v>272</v>
      </c>
      <c r="B130" s="65" t="s">
        <v>431</v>
      </c>
      <c r="C130" s="66" t="s">
        <v>5817</v>
      </c>
      <c r="D130" s="67">
        <v>1</v>
      </c>
      <c r="E130" s="68" t="s">
        <v>132</v>
      </c>
      <c r="F130" s="69">
        <v>32</v>
      </c>
      <c r="G130" s="66" t="s">
        <v>51</v>
      </c>
      <c r="H130" s="70"/>
      <c r="I130" s="71"/>
      <c r="J130" s="71"/>
      <c r="K130" s="35" t="s">
        <v>65</v>
      </c>
      <c r="L130" s="79">
        <v>130</v>
      </c>
      <c r="M130" s="79"/>
      <c r="N130" s="73"/>
      <c r="O130" s="90" t="s">
        <v>525</v>
      </c>
      <c r="P130" s="93">
        <v>44530.713738425926</v>
      </c>
      <c r="Q130" s="90" t="s">
        <v>576</v>
      </c>
      <c r="R130" s="90"/>
      <c r="S130" s="90"/>
      <c r="T130" s="97" t="s">
        <v>712</v>
      </c>
      <c r="U130" s="96" t="str">
        <f>HYPERLINK("https://pbs.twimg.com/media/FFc5qVTVQAkWXE2.jpg")</f>
        <v>https://pbs.twimg.com/media/FFc5qVTVQAkWXE2.jpg</v>
      </c>
      <c r="V130" s="96" t="str">
        <f>HYPERLINK("https://pbs.twimg.com/media/FFc5qVTVQAkWXE2.jpg")</f>
        <v>https://pbs.twimg.com/media/FFc5qVTVQAkWXE2.jpg</v>
      </c>
      <c r="W130" s="93">
        <v>44530.713738425926</v>
      </c>
      <c r="X130" s="100">
        <v>44530</v>
      </c>
      <c r="Y130" s="97" t="s">
        <v>778</v>
      </c>
      <c r="Z130" s="96" t="str">
        <f>HYPERLINK("https://twitter.com/ardenorde/status/1465729284300054541")</f>
        <v>https://twitter.com/ardenorde/status/1465729284300054541</v>
      </c>
      <c r="AA130" s="90"/>
      <c r="AB130" s="90"/>
      <c r="AC130" s="97" t="s">
        <v>1030</v>
      </c>
      <c r="AD130" s="90"/>
      <c r="AE130" s="90" t="b">
        <v>0</v>
      </c>
      <c r="AF130" s="90">
        <v>0</v>
      </c>
      <c r="AG130" s="97" t="s">
        <v>1338</v>
      </c>
      <c r="AH130" s="90" t="b">
        <v>0</v>
      </c>
      <c r="AI130" s="90" t="s">
        <v>1442</v>
      </c>
      <c r="AJ130" s="90"/>
      <c r="AK130" s="97" t="s">
        <v>1338</v>
      </c>
      <c r="AL130" s="90" t="b">
        <v>0</v>
      </c>
      <c r="AM130" s="90">
        <v>18</v>
      </c>
      <c r="AN130" s="97" t="s">
        <v>1196</v>
      </c>
      <c r="AO130" s="97" t="s">
        <v>1450</v>
      </c>
      <c r="AP130" s="90" t="b">
        <v>0</v>
      </c>
      <c r="AQ130" s="97" t="s">
        <v>1196</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3</v>
      </c>
      <c r="BF130" s="49"/>
      <c r="BG130" s="50"/>
      <c r="BH130" s="49"/>
      <c r="BI130" s="50"/>
      <c r="BJ130" s="49"/>
      <c r="BK130" s="50"/>
      <c r="BL130" s="49"/>
      <c r="BM130" s="50"/>
      <c r="BN130" s="49"/>
    </row>
    <row r="131" spans="1:66" ht="15">
      <c r="A131" s="65" t="s">
        <v>272</v>
      </c>
      <c r="B131" s="65" t="s">
        <v>368</v>
      </c>
      <c r="C131" s="66" t="s">
        <v>5817</v>
      </c>
      <c r="D131" s="67">
        <v>1</v>
      </c>
      <c r="E131" s="68" t="s">
        <v>132</v>
      </c>
      <c r="F131" s="69">
        <v>32</v>
      </c>
      <c r="G131" s="66" t="s">
        <v>51</v>
      </c>
      <c r="H131" s="70"/>
      <c r="I131" s="71"/>
      <c r="J131" s="71"/>
      <c r="K131" s="35" t="s">
        <v>65</v>
      </c>
      <c r="L131" s="79">
        <v>131</v>
      </c>
      <c r="M131" s="79"/>
      <c r="N131" s="73"/>
      <c r="O131" s="90" t="s">
        <v>522</v>
      </c>
      <c r="P131" s="93">
        <v>44530.713738425926</v>
      </c>
      <c r="Q131" s="90" t="s">
        <v>576</v>
      </c>
      <c r="R131" s="90"/>
      <c r="S131" s="90"/>
      <c r="T131" s="97" t="s">
        <v>712</v>
      </c>
      <c r="U131" s="96" t="str">
        <f>HYPERLINK("https://pbs.twimg.com/media/FFc5qVTVQAkWXE2.jpg")</f>
        <v>https://pbs.twimg.com/media/FFc5qVTVQAkWXE2.jpg</v>
      </c>
      <c r="V131" s="96" t="str">
        <f>HYPERLINK("https://pbs.twimg.com/media/FFc5qVTVQAkWXE2.jpg")</f>
        <v>https://pbs.twimg.com/media/FFc5qVTVQAkWXE2.jpg</v>
      </c>
      <c r="W131" s="93">
        <v>44530.713738425926</v>
      </c>
      <c r="X131" s="100">
        <v>44530</v>
      </c>
      <c r="Y131" s="97" t="s">
        <v>778</v>
      </c>
      <c r="Z131" s="96" t="str">
        <f>HYPERLINK("https://twitter.com/ardenorde/status/1465729284300054541")</f>
        <v>https://twitter.com/ardenorde/status/1465729284300054541</v>
      </c>
      <c r="AA131" s="90"/>
      <c r="AB131" s="90"/>
      <c r="AC131" s="97" t="s">
        <v>1030</v>
      </c>
      <c r="AD131" s="90"/>
      <c r="AE131" s="90" t="b">
        <v>0</v>
      </c>
      <c r="AF131" s="90">
        <v>0</v>
      </c>
      <c r="AG131" s="97" t="s">
        <v>1338</v>
      </c>
      <c r="AH131" s="90" t="b">
        <v>0</v>
      </c>
      <c r="AI131" s="90" t="s">
        <v>1442</v>
      </c>
      <c r="AJ131" s="90"/>
      <c r="AK131" s="97" t="s">
        <v>1338</v>
      </c>
      <c r="AL131" s="90" t="b">
        <v>0</v>
      </c>
      <c r="AM131" s="90">
        <v>18</v>
      </c>
      <c r="AN131" s="97" t="s">
        <v>1196</v>
      </c>
      <c r="AO131" s="97" t="s">
        <v>1450</v>
      </c>
      <c r="AP131" s="90" t="b">
        <v>0</v>
      </c>
      <c r="AQ131" s="97" t="s">
        <v>1196</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3</v>
      </c>
      <c r="BE131" s="89" t="str">
        <f>REPLACE(INDEX(GroupVertices[Group],MATCH(Edges[[#This Row],[Vertex 2]],GroupVertices[Vertex],0)),1,1,"")</f>
        <v>3</v>
      </c>
      <c r="BF131" s="49">
        <v>0</v>
      </c>
      <c r="BG131" s="50">
        <v>0</v>
      </c>
      <c r="BH131" s="49">
        <v>0</v>
      </c>
      <c r="BI131" s="50">
        <v>0</v>
      </c>
      <c r="BJ131" s="49">
        <v>0</v>
      </c>
      <c r="BK131" s="50">
        <v>0</v>
      </c>
      <c r="BL131" s="49">
        <v>13</v>
      </c>
      <c r="BM131" s="50">
        <v>100</v>
      </c>
      <c r="BN131" s="49">
        <v>13</v>
      </c>
    </row>
    <row r="132" spans="1:66" ht="15">
      <c r="A132" s="65" t="s">
        <v>273</v>
      </c>
      <c r="B132" s="65" t="s">
        <v>349</v>
      </c>
      <c r="C132" s="66" t="s">
        <v>5817</v>
      </c>
      <c r="D132" s="67">
        <v>1</v>
      </c>
      <c r="E132" s="68" t="s">
        <v>132</v>
      </c>
      <c r="F132" s="69">
        <v>32</v>
      </c>
      <c r="G132" s="66" t="s">
        <v>51</v>
      </c>
      <c r="H132" s="70"/>
      <c r="I132" s="71"/>
      <c r="J132" s="71"/>
      <c r="K132" s="35" t="s">
        <v>65</v>
      </c>
      <c r="L132" s="79">
        <v>132</v>
      </c>
      <c r="M132" s="79"/>
      <c r="N132" s="73"/>
      <c r="O132" s="90" t="s">
        <v>522</v>
      </c>
      <c r="P132" s="93">
        <v>44530.73496527778</v>
      </c>
      <c r="Q132" s="90" t="s">
        <v>577</v>
      </c>
      <c r="R132" s="90"/>
      <c r="S132" s="90"/>
      <c r="T132" s="97" t="s">
        <v>226</v>
      </c>
      <c r="U132" s="90"/>
      <c r="V132" s="96" t="str">
        <f>HYPERLINK("https://pbs.twimg.com/profile_images/460915173495017473/x-Bb3LY1_normal.jpeg")</f>
        <v>https://pbs.twimg.com/profile_images/460915173495017473/x-Bb3LY1_normal.jpeg</v>
      </c>
      <c r="W132" s="93">
        <v>44530.73496527778</v>
      </c>
      <c r="X132" s="100">
        <v>44530</v>
      </c>
      <c r="Y132" s="97" t="s">
        <v>779</v>
      </c>
      <c r="Z132" s="96" t="str">
        <f>HYPERLINK("https://twitter.com/heinikettunen/status/1465736973306548229")</f>
        <v>https://twitter.com/heinikettunen/status/1465736973306548229</v>
      </c>
      <c r="AA132" s="90"/>
      <c r="AB132" s="90"/>
      <c r="AC132" s="97" t="s">
        <v>1031</v>
      </c>
      <c r="AD132" s="90"/>
      <c r="AE132" s="90" t="b">
        <v>0</v>
      </c>
      <c r="AF132" s="90">
        <v>0</v>
      </c>
      <c r="AG132" s="97" t="s">
        <v>1338</v>
      </c>
      <c r="AH132" s="90" t="b">
        <v>0</v>
      </c>
      <c r="AI132" s="90" t="s">
        <v>1442</v>
      </c>
      <c r="AJ132" s="90"/>
      <c r="AK132" s="97" t="s">
        <v>1338</v>
      </c>
      <c r="AL132" s="90" t="b">
        <v>0</v>
      </c>
      <c r="AM132" s="90">
        <v>14</v>
      </c>
      <c r="AN132" s="97" t="s">
        <v>1178</v>
      </c>
      <c r="AO132" s="97" t="s">
        <v>1450</v>
      </c>
      <c r="AP132" s="90" t="b">
        <v>0</v>
      </c>
      <c r="AQ132" s="97" t="s">
        <v>1178</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5</v>
      </c>
      <c r="BE132" s="89" t="str">
        <f>REPLACE(INDEX(GroupVertices[Group],MATCH(Edges[[#This Row],[Vertex 2]],GroupVertices[Vertex],0)),1,1,"")</f>
        <v>5</v>
      </c>
      <c r="BF132" s="49"/>
      <c r="BG132" s="50"/>
      <c r="BH132" s="49"/>
      <c r="BI132" s="50"/>
      <c r="BJ132" s="49"/>
      <c r="BK132" s="50"/>
      <c r="BL132" s="49"/>
      <c r="BM132" s="50"/>
      <c r="BN132" s="49"/>
    </row>
    <row r="133" spans="1:66" ht="15">
      <c r="A133" s="65" t="s">
        <v>273</v>
      </c>
      <c r="B133" s="65" t="s">
        <v>432</v>
      </c>
      <c r="C133" s="66" t="s">
        <v>5817</v>
      </c>
      <c r="D133" s="67">
        <v>1</v>
      </c>
      <c r="E133" s="68" t="s">
        <v>132</v>
      </c>
      <c r="F133" s="69">
        <v>32</v>
      </c>
      <c r="G133" s="66" t="s">
        <v>51</v>
      </c>
      <c r="H133" s="70"/>
      <c r="I133" s="71"/>
      <c r="J133" s="71"/>
      <c r="K133" s="35" t="s">
        <v>65</v>
      </c>
      <c r="L133" s="79">
        <v>133</v>
      </c>
      <c r="M133" s="79"/>
      <c r="N133" s="73"/>
      <c r="O133" s="90" t="s">
        <v>523</v>
      </c>
      <c r="P133" s="93">
        <v>44530.73496527778</v>
      </c>
      <c r="Q133" s="90" t="s">
        <v>577</v>
      </c>
      <c r="R133" s="90"/>
      <c r="S133" s="90"/>
      <c r="T133" s="97" t="s">
        <v>226</v>
      </c>
      <c r="U133" s="90"/>
      <c r="V133" s="96" t="str">
        <f>HYPERLINK("https://pbs.twimg.com/profile_images/460915173495017473/x-Bb3LY1_normal.jpeg")</f>
        <v>https://pbs.twimg.com/profile_images/460915173495017473/x-Bb3LY1_normal.jpeg</v>
      </c>
      <c r="W133" s="93">
        <v>44530.73496527778</v>
      </c>
      <c r="X133" s="100">
        <v>44530</v>
      </c>
      <c r="Y133" s="97" t="s">
        <v>779</v>
      </c>
      <c r="Z133" s="96" t="str">
        <f>HYPERLINK("https://twitter.com/heinikettunen/status/1465736973306548229")</f>
        <v>https://twitter.com/heinikettunen/status/1465736973306548229</v>
      </c>
      <c r="AA133" s="90"/>
      <c r="AB133" s="90"/>
      <c r="AC133" s="97" t="s">
        <v>1031</v>
      </c>
      <c r="AD133" s="90"/>
      <c r="AE133" s="90" t="b">
        <v>0</v>
      </c>
      <c r="AF133" s="90">
        <v>0</v>
      </c>
      <c r="AG133" s="97" t="s">
        <v>1338</v>
      </c>
      <c r="AH133" s="90" t="b">
        <v>0</v>
      </c>
      <c r="AI133" s="90" t="s">
        <v>1442</v>
      </c>
      <c r="AJ133" s="90"/>
      <c r="AK133" s="97" t="s">
        <v>1338</v>
      </c>
      <c r="AL133" s="90" t="b">
        <v>0</v>
      </c>
      <c r="AM133" s="90">
        <v>14</v>
      </c>
      <c r="AN133" s="97" t="s">
        <v>1178</v>
      </c>
      <c r="AO133" s="97" t="s">
        <v>1450</v>
      </c>
      <c r="AP133" s="90" t="b">
        <v>0</v>
      </c>
      <c r="AQ133" s="97" t="s">
        <v>1178</v>
      </c>
      <c r="AR133" s="90" t="s">
        <v>187</v>
      </c>
      <c r="AS133" s="90">
        <v>0</v>
      </c>
      <c r="AT133" s="90">
        <v>0</v>
      </c>
      <c r="AU133" s="90"/>
      <c r="AV133" s="90"/>
      <c r="AW133" s="90"/>
      <c r="AX133" s="90"/>
      <c r="AY133" s="90"/>
      <c r="AZ133" s="90"/>
      <c r="BA133" s="90"/>
      <c r="BB133" s="90"/>
      <c r="BC133">
        <v>1</v>
      </c>
      <c r="BD133" s="89" t="str">
        <f>REPLACE(INDEX(GroupVertices[Group],MATCH(Edges[[#This Row],[Vertex 1]],GroupVertices[Vertex],0)),1,1,"")</f>
        <v>5</v>
      </c>
      <c r="BE133" s="89" t="str">
        <f>REPLACE(INDEX(GroupVertices[Group],MATCH(Edges[[#This Row],[Vertex 2]],GroupVertices[Vertex],0)),1,1,"")</f>
        <v>5</v>
      </c>
      <c r="BF133" s="49">
        <v>0</v>
      </c>
      <c r="BG133" s="50">
        <v>0</v>
      </c>
      <c r="BH133" s="49">
        <v>0</v>
      </c>
      <c r="BI133" s="50">
        <v>0</v>
      </c>
      <c r="BJ133" s="49">
        <v>0</v>
      </c>
      <c r="BK133" s="50">
        <v>0</v>
      </c>
      <c r="BL133" s="49">
        <v>29</v>
      </c>
      <c r="BM133" s="50">
        <v>100</v>
      </c>
      <c r="BN133" s="49">
        <v>29</v>
      </c>
    </row>
    <row r="134" spans="1:66" ht="15">
      <c r="A134" s="65" t="s">
        <v>274</v>
      </c>
      <c r="B134" s="65" t="s">
        <v>433</v>
      </c>
      <c r="C134" s="66" t="s">
        <v>5817</v>
      </c>
      <c r="D134" s="67">
        <v>1</v>
      </c>
      <c r="E134" s="68" t="s">
        <v>132</v>
      </c>
      <c r="F134" s="69">
        <v>32</v>
      </c>
      <c r="G134" s="66" t="s">
        <v>51</v>
      </c>
      <c r="H134" s="70"/>
      <c r="I134" s="71"/>
      <c r="J134" s="71"/>
      <c r="K134" s="35" t="s">
        <v>65</v>
      </c>
      <c r="L134" s="79">
        <v>134</v>
      </c>
      <c r="M134" s="79"/>
      <c r="N134" s="73"/>
      <c r="O134" s="90" t="s">
        <v>525</v>
      </c>
      <c r="P134" s="93">
        <v>44525.66275462963</v>
      </c>
      <c r="Q134" s="90" t="s">
        <v>526</v>
      </c>
      <c r="R134" s="96" t="str">
        <f>HYPERLINK("https://tfiglobalnews.com/2021/11/08/japan-crushes-big-pharma-with-a-small-yet-effective-move/")</f>
        <v>https://tfiglobalnews.com/2021/11/08/japan-crushes-big-pharma-with-a-small-yet-effective-move/</v>
      </c>
      <c r="S134" s="90" t="s">
        <v>689</v>
      </c>
      <c r="T134" s="90"/>
      <c r="U134" s="90"/>
      <c r="V134" s="96" t="str">
        <f>HYPERLINK("https://pbs.twimg.com/profile_images/1440677278061457431/n2PVL3RZ_normal.jpg")</f>
        <v>https://pbs.twimg.com/profile_images/1440677278061457431/n2PVL3RZ_normal.jpg</v>
      </c>
      <c r="W134" s="93">
        <v>44525.66275462963</v>
      </c>
      <c r="X134" s="100">
        <v>44525</v>
      </c>
      <c r="Y134" s="97" t="s">
        <v>780</v>
      </c>
      <c r="Z134" s="96" t="str">
        <f>HYPERLINK("https://twitter.com/river17_eaglle/status/1463898866739290115")</f>
        <v>https://twitter.com/river17_eaglle/status/1463898866739290115</v>
      </c>
      <c r="AA134" s="90"/>
      <c r="AB134" s="90"/>
      <c r="AC134" s="97" t="s">
        <v>1032</v>
      </c>
      <c r="AD134" s="90"/>
      <c r="AE134" s="90" t="b">
        <v>0</v>
      </c>
      <c r="AF134" s="90">
        <v>0</v>
      </c>
      <c r="AG134" s="97" t="s">
        <v>1338</v>
      </c>
      <c r="AH134" s="90" t="b">
        <v>0</v>
      </c>
      <c r="AI134" s="90" t="s">
        <v>1442</v>
      </c>
      <c r="AJ134" s="90"/>
      <c r="AK134" s="97" t="s">
        <v>1338</v>
      </c>
      <c r="AL134" s="90" t="b">
        <v>0</v>
      </c>
      <c r="AM134" s="90">
        <v>3</v>
      </c>
      <c r="AN134" s="97" t="s">
        <v>1068</v>
      </c>
      <c r="AO134" s="97" t="s">
        <v>1452</v>
      </c>
      <c r="AP134" s="90" t="b">
        <v>0</v>
      </c>
      <c r="AQ134" s="97" t="s">
        <v>1068</v>
      </c>
      <c r="AR134" s="90" t="s">
        <v>187</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c r="BG134" s="50"/>
      <c r="BH134" s="49"/>
      <c r="BI134" s="50"/>
      <c r="BJ134" s="49"/>
      <c r="BK134" s="50"/>
      <c r="BL134" s="49"/>
      <c r="BM134" s="50"/>
      <c r="BN134" s="49"/>
    </row>
    <row r="135" spans="1:66" ht="15">
      <c r="A135" s="65" t="s">
        <v>274</v>
      </c>
      <c r="B135" s="65" t="s">
        <v>267</v>
      </c>
      <c r="C135" s="66" t="s">
        <v>5817</v>
      </c>
      <c r="D135" s="67">
        <v>1</v>
      </c>
      <c r="E135" s="68" t="s">
        <v>132</v>
      </c>
      <c r="F135" s="69">
        <v>32</v>
      </c>
      <c r="G135" s="66" t="s">
        <v>51</v>
      </c>
      <c r="H135" s="70"/>
      <c r="I135" s="71"/>
      <c r="J135" s="71"/>
      <c r="K135" s="35" t="s">
        <v>65</v>
      </c>
      <c r="L135" s="79">
        <v>135</v>
      </c>
      <c r="M135" s="79"/>
      <c r="N135" s="73"/>
      <c r="O135" s="90" t="s">
        <v>522</v>
      </c>
      <c r="P135" s="93">
        <v>44525.66275462963</v>
      </c>
      <c r="Q135" s="90" t="s">
        <v>526</v>
      </c>
      <c r="R135" s="96" t="str">
        <f>HYPERLINK("https://tfiglobalnews.com/2021/11/08/japan-crushes-big-pharma-with-a-small-yet-effective-move/")</f>
        <v>https://tfiglobalnews.com/2021/11/08/japan-crushes-big-pharma-with-a-small-yet-effective-move/</v>
      </c>
      <c r="S135" s="90" t="s">
        <v>689</v>
      </c>
      <c r="T135" s="90"/>
      <c r="U135" s="90"/>
      <c r="V135" s="96" t="str">
        <f>HYPERLINK("https://pbs.twimg.com/profile_images/1440677278061457431/n2PVL3RZ_normal.jpg")</f>
        <v>https://pbs.twimg.com/profile_images/1440677278061457431/n2PVL3RZ_normal.jpg</v>
      </c>
      <c r="W135" s="93">
        <v>44525.66275462963</v>
      </c>
      <c r="X135" s="100">
        <v>44525</v>
      </c>
      <c r="Y135" s="97" t="s">
        <v>780</v>
      </c>
      <c r="Z135" s="96" t="str">
        <f>HYPERLINK("https://twitter.com/river17_eaglle/status/1463898866739290115")</f>
        <v>https://twitter.com/river17_eaglle/status/1463898866739290115</v>
      </c>
      <c r="AA135" s="90"/>
      <c r="AB135" s="90"/>
      <c r="AC135" s="97" t="s">
        <v>1032</v>
      </c>
      <c r="AD135" s="90"/>
      <c r="AE135" s="90" t="b">
        <v>0</v>
      </c>
      <c r="AF135" s="90">
        <v>0</v>
      </c>
      <c r="AG135" s="97" t="s">
        <v>1338</v>
      </c>
      <c r="AH135" s="90" t="b">
        <v>0</v>
      </c>
      <c r="AI135" s="90" t="s">
        <v>1442</v>
      </c>
      <c r="AJ135" s="90"/>
      <c r="AK135" s="97" t="s">
        <v>1338</v>
      </c>
      <c r="AL135" s="90" t="b">
        <v>0</v>
      </c>
      <c r="AM135" s="90">
        <v>3</v>
      </c>
      <c r="AN135" s="97" t="s">
        <v>1068</v>
      </c>
      <c r="AO135" s="97" t="s">
        <v>1452</v>
      </c>
      <c r="AP135" s="90" t="b">
        <v>0</v>
      </c>
      <c r="AQ135" s="97" t="s">
        <v>1068</v>
      </c>
      <c r="AR135" s="90" t="s">
        <v>187</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5" t="s">
        <v>274</v>
      </c>
      <c r="B136" s="65" t="s">
        <v>378</v>
      </c>
      <c r="C136" s="66" t="s">
        <v>5817</v>
      </c>
      <c r="D136" s="67">
        <v>1</v>
      </c>
      <c r="E136" s="68" t="s">
        <v>132</v>
      </c>
      <c r="F136" s="69">
        <v>32</v>
      </c>
      <c r="G136" s="66" t="s">
        <v>51</v>
      </c>
      <c r="H136" s="70"/>
      <c r="I136" s="71"/>
      <c r="J136" s="71"/>
      <c r="K136" s="35" t="s">
        <v>65</v>
      </c>
      <c r="L136" s="79">
        <v>136</v>
      </c>
      <c r="M136" s="79"/>
      <c r="N136" s="73"/>
      <c r="O136" s="90" t="s">
        <v>523</v>
      </c>
      <c r="P136" s="93">
        <v>44525.66275462963</v>
      </c>
      <c r="Q136" s="90" t="s">
        <v>526</v>
      </c>
      <c r="R136" s="96" t="str">
        <f>HYPERLINK("https://tfiglobalnews.com/2021/11/08/japan-crushes-big-pharma-with-a-small-yet-effective-move/")</f>
        <v>https://tfiglobalnews.com/2021/11/08/japan-crushes-big-pharma-with-a-small-yet-effective-move/</v>
      </c>
      <c r="S136" s="90" t="s">
        <v>689</v>
      </c>
      <c r="T136" s="90"/>
      <c r="U136" s="90"/>
      <c r="V136" s="96" t="str">
        <f>HYPERLINK("https://pbs.twimg.com/profile_images/1440677278061457431/n2PVL3RZ_normal.jpg")</f>
        <v>https://pbs.twimg.com/profile_images/1440677278061457431/n2PVL3RZ_normal.jpg</v>
      </c>
      <c r="W136" s="93">
        <v>44525.66275462963</v>
      </c>
      <c r="X136" s="100">
        <v>44525</v>
      </c>
      <c r="Y136" s="97" t="s">
        <v>780</v>
      </c>
      <c r="Z136" s="96" t="str">
        <f>HYPERLINK("https://twitter.com/river17_eaglle/status/1463898866739290115")</f>
        <v>https://twitter.com/river17_eaglle/status/1463898866739290115</v>
      </c>
      <c r="AA136" s="90"/>
      <c r="AB136" s="90"/>
      <c r="AC136" s="97" t="s">
        <v>1032</v>
      </c>
      <c r="AD136" s="90"/>
      <c r="AE136" s="90" t="b">
        <v>0</v>
      </c>
      <c r="AF136" s="90">
        <v>0</v>
      </c>
      <c r="AG136" s="97" t="s">
        <v>1338</v>
      </c>
      <c r="AH136" s="90" t="b">
        <v>0</v>
      </c>
      <c r="AI136" s="90" t="s">
        <v>1442</v>
      </c>
      <c r="AJ136" s="90"/>
      <c r="AK136" s="97" t="s">
        <v>1338</v>
      </c>
      <c r="AL136" s="90" t="b">
        <v>0</v>
      </c>
      <c r="AM136" s="90">
        <v>3</v>
      </c>
      <c r="AN136" s="97" t="s">
        <v>1068</v>
      </c>
      <c r="AO136" s="97" t="s">
        <v>1452</v>
      </c>
      <c r="AP136" s="90" t="b">
        <v>0</v>
      </c>
      <c r="AQ136" s="97" t="s">
        <v>1068</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1</v>
      </c>
      <c r="BE136" s="89"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5" t="s">
        <v>274</v>
      </c>
      <c r="B137" s="65" t="s">
        <v>374</v>
      </c>
      <c r="C137" s="66" t="s">
        <v>5818</v>
      </c>
      <c r="D137" s="67">
        <v>1</v>
      </c>
      <c r="E137" s="68" t="s">
        <v>132</v>
      </c>
      <c r="F137" s="69">
        <v>32</v>
      </c>
      <c r="G137" s="66" t="s">
        <v>51</v>
      </c>
      <c r="H137" s="70"/>
      <c r="I137" s="71"/>
      <c r="J137" s="71"/>
      <c r="K137" s="35" t="s">
        <v>65</v>
      </c>
      <c r="L137" s="79">
        <v>137</v>
      </c>
      <c r="M137" s="79"/>
      <c r="N137" s="73"/>
      <c r="O137" s="90" t="s">
        <v>522</v>
      </c>
      <c r="P137" s="93">
        <v>44526.442557870374</v>
      </c>
      <c r="Q137" s="90" t="s">
        <v>578</v>
      </c>
      <c r="R137" s="96" t="str">
        <f>HYPERLINK("https://twitter.com/OKuokka/status/1448586562934018050")</f>
        <v>https://twitter.com/OKuokka/status/1448586562934018050</v>
      </c>
      <c r="S137" s="90" t="s">
        <v>693</v>
      </c>
      <c r="T137" s="90"/>
      <c r="U137" s="90"/>
      <c r="V137" s="96" t="str">
        <f>HYPERLINK("https://pbs.twimg.com/profile_images/1440677278061457431/n2PVL3RZ_normal.jpg")</f>
        <v>https://pbs.twimg.com/profile_images/1440677278061457431/n2PVL3RZ_normal.jpg</v>
      </c>
      <c r="W137" s="93">
        <v>44526.442557870374</v>
      </c>
      <c r="X137" s="100">
        <v>44526</v>
      </c>
      <c r="Y137" s="97" t="s">
        <v>781</v>
      </c>
      <c r="Z137" s="96" t="str">
        <f>HYPERLINK("https://twitter.com/river17_eaglle/status/1464181457858007041")</f>
        <v>https://twitter.com/river17_eaglle/status/1464181457858007041</v>
      </c>
      <c r="AA137" s="90"/>
      <c r="AB137" s="90"/>
      <c r="AC137" s="97" t="s">
        <v>1033</v>
      </c>
      <c r="AD137" s="90"/>
      <c r="AE137" s="90" t="b">
        <v>0</v>
      </c>
      <c r="AF137" s="90">
        <v>0</v>
      </c>
      <c r="AG137" s="97" t="s">
        <v>1338</v>
      </c>
      <c r="AH137" s="90" t="b">
        <v>1</v>
      </c>
      <c r="AI137" s="90" t="s">
        <v>1442</v>
      </c>
      <c r="AJ137" s="90"/>
      <c r="AK137" s="97" t="s">
        <v>1216</v>
      </c>
      <c r="AL137" s="90" t="b">
        <v>0</v>
      </c>
      <c r="AM137" s="90">
        <v>8</v>
      </c>
      <c r="AN137" s="97" t="s">
        <v>1212</v>
      </c>
      <c r="AO137" s="97" t="s">
        <v>1452</v>
      </c>
      <c r="AP137" s="90" t="b">
        <v>0</v>
      </c>
      <c r="AQ137" s="97" t="s">
        <v>1212</v>
      </c>
      <c r="AR137" s="90" t="s">
        <v>187</v>
      </c>
      <c r="AS137" s="90">
        <v>0</v>
      </c>
      <c r="AT137" s="90">
        <v>0</v>
      </c>
      <c r="AU137" s="90"/>
      <c r="AV137" s="90"/>
      <c r="AW137" s="90"/>
      <c r="AX137" s="90"/>
      <c r="AY137" s="90"/>
      <c r="AZ137" s="90"/>
      <c r="BA137" s="90"/>
      <c r="BB137" s="90"/>
      <c r="BC137">
        <v>2</v>
      </c>
      <c r="BD137" s="89" t="str">
        <f>REPLACE(INDEX(GroupVertices[Group],MATCH(Edges[[#This Row],[Vertex 1]],GroupVertices[Vertex],0)),1,1,"")</f>
        <v>1</v>
      </c>
      <c r="BE137" s="89" t="str">
        <f>REPLACE(INDEX(GroupVertices[Group],MATCH(Edges[[#This Row],[Vertex 2]],GroupVertices[Vertex],0)),1,1,"")</f>
        <v>1</v>
      </c>
      <c r="BF137" s="49"/>
      <c r="BG137" s="50"/>
      <c r="BH137" s="49"/>
      <c r="BI137" s="50"/>
      <c r="BJ137" s="49"/>
      <c r="BK137" s="50"/>
      <c r="BL137" s="49"/>
      <c r="BM137" s="50"/>
      <c r="BN137" s="49"/>
    </row>
    <row r="138" spans="1:66" ht="15">
      <c r="A138" s="65" t="s">
        <v>274</v>
      </c>
      <c r="B138" s="65" t="s">
        <v>434</v>
      </c>
      <c r="C138" s="66" t="s">
        <v>5818</v>
      </c>
      <c r="D138" s="67">
        <v>1</v>
      </c>
      <c r="E138" s="68" t="s">
        <v>132</v>
      </c>
      <c r="F138" s="69">
        <v>32</v>
      </c>
      <c r="G138" s="66" t="s">
        <v>51</v>
      </c>
      <c r="H138" s="70"/>
      <c r="I138" s="71"/>
      <c r="J138" s="71"/>
      <c r="K138" s="35" t="s">
        <v>65</v>
      </c>
      <c r="L138" s="79">
        <v>138</v>
      </c>
      <c r="M138" s="79"/>
      <c r="N138" s="73"/>
      <c r="O138" s="90" t="s">
        <v>523</v>
      </c>
      <c r="P138" s="93">
        <v>44526.442557870374</v>
      </c>
      <c r="Q138" s="90" t="s">
        <v>578</v>
      </c>
      <c r="R138" s="96" t="str">
        <f>HYPERLINK("https://twitter.com/OKuokka/status/1448586562934018050")</f>
        <v>https://twitter.com/OKuokka/status/1448586562934018050</v>
      </c>
      <c r="S138" s="90" t="s">
        <v>693</v>
      </c>
      <c r="T138" s="90"/>
      <c r="U138" s="90"/>
      <c r="V138" s="96" t="str">
        <f>HYPERLINK("https://pbs.twimg.com/profile_images/1440677278061457431/n2PVL3RZ_normal.jpg")</f>
        <v>https://pbs.twimg.com/profile_images/1440677278061457431/n2PVL3RZ_normal.jpg</v>
      </c>
      <c r="W138" s="93">
        <v>44526.442557870374</v>
      </c>
      <c r="X138" s="100">
        <v>44526</v>
      </c>
      <c r="Y138" s="97" t="s">
        <v>781</v>
      </c>
      <c r="Z138" s="96" t="str">
        <f>HYPERLINK("https://twitter.com/river17_eaglle/status/1464181457858007041")</f>
        <v>https://twitter.com/river17_eaglle/status/1464181457858007041</v>
      </c>
      <c r="AA138" s="90"/>
      <c r="AB138" s="90"/>
      <c r="AC138" s="97" t="s">
        <v>1033</v>
      </c>
      <c r="AD138" s="90"/>
      <c r="AE138" s="90" t="b">
        <v>0</v>
      </c>
      <c r="AF138" s="90">
        <v>0</v>
      </c>
      <c r="AG138" s="97" t="s">
        <v>1338</v>
      </c>
      <c r="AH138" s="90" t="b">
        <v>1</v>
      </c>
      <c r="AI138" s="90" t="s">
        <v>1442</v>
      </c>
      <c r="AJ138" s="90"/>
      <c r="AK138" s="97" t="s">
        <v>1216</v>
      </c>
      <c r="AL138" s="90" t="b">
        <v>0</v>
      </c>
      <c r="AM138" s="90">
        <v>8</v>
      </c>
      <c r="AN138" s="97" t="s">
        <v>1212</v>
      </c>
      <c r="AO138" s="97" t="s">
        <v>1452</v>
      </c>
      <c r="AP138" s="90" t="b">
        <v>0</v>
      </c>
      <c r="AQ138" s="97" t="s">
        <v>1212</v>
      </c>
      <c r="AR138" s="90" t="s">
        <v>187</v>
      </c>
      <c r="AS138" s="90">
        <v>0</v>
      </c>
      <c r="AT138" s="90">
        <v>0</v>
      </c>
      <c r="AU138" s="90"/>
      <c r="AV138" s="90"/>
      <c r="AW138" s="90"/>
      <c r="AX138" s="90"/>
      <c r="AY138" s="90"/>
      <c r="AZ138" s="90"/>
      <c r="BA138" s="90"/>
      <c r="BB138" s="90"/>
      <c r="BC138">
        <v>2</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14</v>
      </c>
      <c r="BM138" s="50">
        <v>100</v>
      </c>
      <c r="BN138" s="49">
        <v>14</v>
      </c>
    </row>
    <row r="139" spans="1:66" ht="15">
      <c r="A139" s="65" t="s">
        <v>274</v>
      </c>
      <c r="B139" s="65" t="s">
        <v>374</v>
      </c>
      <c r="C139" s="66" t="s">
        <v>5818</v>
      </c>
      <c r="D139" s="67">
        <v>1</v>
      </c>
      <c r="E139" s="68" t="s">
        <v>132</v>
      </c>
      <c r="F139" s="69">
        <v>32</v>
      </c>
      <c r="G139" s="66" t="s">
        <v>51</v>
      </c>
      <c r="H139" s="70"/>
      <c r="I139" s="71"/>
      <c r="J139" s="71"/>
      <c r="K139" s="35" t="s">
        <v>65</v>
      </c>
      <c r="L139" s="79">
        <v>139</v>
      </c>
      <c r="M139" s="79"/>
      <c r="N139" s="73"/>
      <c r="O139" s="90" t="s">
        <v>522</v>
      </c>
      <c r="P139" s="93">
        <v>44526.44265046297</v>
      </c>
      <c r="Q139" s="90" t="s">
        <v>579</v>
      </c>
      <c r="R139" s="96" t="str">
        <f>HYPERLINK("https://yle.fi/uutiset/3-11916413")</f>
        <v>https://yle.fi/uutiset/3-11916413</v>
      </c>
      <c r="S139" s="90" t="s">
        <v>697</v>
      </c>
      <c r="T139" s="90"/>
      <c r="U139" s="90"/>
      <c r="V139" s="96" t="str">
        <f>HYPERLINK("https://pbs.twimg.com/profile_images/1440677278061457431/n2PVL3RZ_normal.jpg")</f>
        <v>https://pbs.twimg.com/profile_images/1440677278061457431/n2PVL3RZ_normal.jpg</v>
      </c>
      <c r="W139" s="93">
        <v>44526.44265046297</v>
      </c>
      <c r="X139" s="100">
        <v>44526</v>
      </c>
      <c r="Y139" s="97" t="s">
        <v>782</v>
      </c>
      <c r="Z139" s="96" t="str">
        <f>HYPERLINK("https://twitter.com/river17_eaglle/status/1464181490082795521")</f>
        <v>https://twitter.com/river17_eaglle/status/1464181490082795521</v>
      </c>
      <c r="AA139" s="90"/>
      <c r="AB139" s="90"/>
      <c r="AC139" s="97" t="s">
        <v>1034</v>
      </c>
      <c r="AD139" s="90"/>
      <c r="AE139" s="90" t="b">
        <v>0</v>
      </c>
      <c r="AF139" s="90">
        <v>0</v>
      </c>
      <c r="AG139" s="97" t="s">
        <v>1338</v>
      </c>
      <c r="AH139" s="90" t="b">
        <v>0</v>
      </c>
      <c r="AI139" s="90" t="s">
        <v>1442</v>
      </c>
      <c r="AJ139" s="90"/>
      <c r="AK139" s="97" t="s">
        <v>1338</v>
      </c>
      <c r="AL139" s="90" t="b">
        <v>0</v>
      </c>
      <c r="AM139" s="90">
        <v>4</v>
      </c>
      <c r="AN139" s="97" t="s">
        <v>1216</v>
      </c>
      <c r="AO139" s="97" t="s">
        <v>1452</v>
      </c>
      <c r="AP139" s="90" t="b">
        <v>0</v>
      </c>
      <c r="AQ139" s="97" t="s">
        <v>1216</v>
      </c>
      <c r="AR139" s="90" t="s">
        <v>187</v>
      </c>
      <c r="AS139" s="90">
        <v>0</v>
      </c>
      <c r="AT139" s="90">
        <v>0</v>
      </c>
      <c r="AU139" s="90"/>
      <c r="AV139" s="90"/>
      <c r="AW139" s="90"/>
      <c r="AX139" s="90"/>
      <c r="AY139" s="90"/>
      <c r="AZ139" s="90"/>
      <c r="BA139" s="90"/>
      <c r="BB139" s="90"/>
      <c r="BC139">
        <v>2</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13</v>
      </c>
      <c r="BM139" s="50">
        <v>100</v>
      </c>
      <c r="BN139" s="49">
        <v>13</v>
      </c>
    </row>
    <row r="140" spans="1:66" ht="15">
      <c r="A140" s="65" t="s">
        <v>274</v>
      </c>
      <c r="B140" s="65" t="s">
        <v>306</v>
      </c>
      <c r="C140" s="66" t="s">
        <v>5817</v>
      </c>
      <c r="D140" s="67">
        <v>1</v>
      </c>
      <c r="E140" s="68" t="s">
        <v>132</v>
      </c>
      <c r="F140" s="69">
        <v>32</v>
      </c>
      <c r="G140" s="66" t="s">
        <v>51</v>
      </c>
      <c r="H140" s="70"/>
      <c r="I140" s="71"/>
      <c r="J140" s="71"/>
      <c r="K140" s="35" t="s">
        <v>65</v>
      </c>
      <c r="L140" s="79">
        <v>140</v>
      </c>
      <c r="M140" s="79"/>
      <c r="N140" s="73"/>
      <c r="O140" s="90" t="s">
        <v>522</v>
      </c>
      <c r="P140" s="93">
        <v>44526.451006944444</v>
      </c>
      <c r="Q140" s="90" t="s">
        <v>580</v>
      </c>
      <c r="R140" s="90"/>
      <c r="S140" s="90"/>
      <c r="T140" s="90"/>
      <c r="U140" s="90"/>
      <c r="V140" s="96" t="str">
        <f>HYPERLINK("https://pbs.twimg.com/profile_images/1440677278061457431/n2PVL3RZ_normal.jpg")</f>
        <v>https://pbs.twimg.com/profile_images/1440677278061457431/n2PVL3RZ_normal.jpg</v>
      </c>
      <c r="W140" s="93">
        <v>44526.451006944444</v>
      </c>
      <c r="X140" s="100">
        <v>44526</v>
      </c>
      <c r="Y140" s="97" t="s">
        <v>783</v>
      </c>
      <c r="Z140" s="96" t="str">
        <f>HYPERLINK("https://twitter.com/river17_eaglle/status/1464184522107457536")</f>
        <v>https://twitter.com/river17_eaglle/status/1464184522107457536</v>
      </c>
      <c r="AA140" s="90"/>
      <c r="AB140" s="90"/>
      <c r="AC140" s="97" t="s">
        <v>1035</v>
      </c>
      <c r="AD140" s="90"/>
      <c r="AE140" s="90" t="b">
        <v>0</v>
      </c>
      <c r="AF140" s="90">
        <v>0</v>
      </c>
      <c r="AG140" s="97" t="s">
        <v>1338</v>
      </c>
      <c r="AH140" s="90" t="b">
        <v>0</v>
      </c>
      <c r="AI140" s="90" t="s">
        <v>1442</v>
      </c>
      <c r="AJ140" s="90"/>
      <c r="AK140" s="97" t="s">
        <v>1338</v>
      </c>
      <c r="AL140" s="90" t="b">
        <v>0</v>
      </c>
      <c r="AM140" s="90">
        <v>5</v>
      </c>
      <c r="AN140" s="97" t="s">
        <v>1093</v>
      </c>
      <c r="AO140" s="97" t="s">
        <v>1452</v>
      </c>
      <c r="AP140" s="90" t="b">
        <v>0</v>
      </c>
      <c r="AQ140" s="97" t="s">
        <v>1093</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2</v>
      </c>
      <c r="BF140" s="49">
        <v>0</v>
      </c>
      <c r="BG140" s="50">
        <v>0</v>
      </c>
      <c r="BH140" s="49">
        <v>0</v>
      </c>
      <c r="BI140" s="50">
        <v>0</v>
      </c>
      <c r="BJ140" s="49">
        <v>0</v>
      </c>
      <c r="BK140" s="50">
        <v>0</v>
      </c>
      <c r="BL140" s="49">
        <v>23</v>
      </c>
      <c r="BM140" s="50">
        <v>100</v>
      </c>
      <c r="BN140" s="49">
        <v>23</v>
      </c>
    </row>
    <row r="141" spans="1:66" ht="15">
      <c r="A141" s="65" t="s">
        <v>274</v>
      </c>
      <c r="B141" s="65" t="s">
        <v>434</v>
      </c>
      <c r="C141" s="66" t="s">
        <v>5818</v>
      </c>
      <c r="D141" s="67">
        <v>1</v>
      </c>
      <c r="E141" s="68" t="s">
        <v>132</v>
      </c>
      <c r="F141" s="69">
        <v>32</v>
      </c>
      <c r="G141" s="66" t="s">
        <v>51</v>
      </c>
      <c r="H141" s="70"/>
      <c r="I141" s="71"/>
      <c r="J141" s="71"/>
      <c r="K141" s="35" t="s">
        <v>65</v>
      </c>
      <c r="L141" s="79">
        <v>141</v>
      </c>
      <c r="M141" s="79"/>
      <c r="N141" s="73"/>
      <c r="O141" s="90" t="s">
        <v>523</v>
      </c>
      <c r="P141" s="93">
        <v>44526.451006944444</v>
      </c>
      <c r="Q141" s="90" t="s">
        <v>580</v>
      </c>
      <c r="R141" s="90"/>
      <c r="S141" s="90"/>
      <c r="T141" s="90"/>
      <c r="U141" s="90"/>
      <c r="V141" s="96" t="str">
        <f>HYPERLINK("https://pbs.twimg.com/profile_images/1440677278061457431/n2PVL3RZ_normal.jpg")</f>
        <v>https://pbs.twimg.com/profile_images/1440677278061457431/n2PVL3RZ_normal.jpg</v>
      </c>
      <c r="W141" s="93">
        <v>44526.451006944444</v>
      </c>
      <c r="X141" s="100">
        <v>44526</v>
      </c>
      <c r="Y141" s="97" t="s">
        <v>783</v>
      </c>
      <c r="Z141" s="96" t="str">
        <f>HYPERLINK("https://twitter.com/river17_eaglle/status/1464184522107457536")</f>
        <v>https://twitter.com/river17_eaglle/status/1464184522107457536</v>
      </c>
      <c r="AA141" s="90"/>
      <c r="AB141" s="90"/>
      <c r="AC141" s="97" t="s">
        <v>1035</v>
      </c>
      <c r="AD141" s="90"/>
      <c r="AE141" s="90" t="b">
        <v>0</v>
      </c>
      <c r="AF141" s="90">
        <v>0</v>
      </c>
      <c r="AG141" s="97" t="s">
        <v>1338</v>
      </c>
      <c r="AH141" s="90" t="b">
        <v>0</v>
      </c>
      <c r="AI141" s="90" t="s">
        <v>1442</v>
      </c>
      <c r="AJ141" s="90"/>
      <c r="AK141" s="97" t="s">
        <v>1338</v>
      </c>
      <c r="AL141" s="90" t="b">
        <v>0</v>
      </c>
      <c r="AM141" s="90">
        <v>5</v>
      </c>
      <c r="AN141" s="97" t="s">
        <v>1093</v>
      </c>
      <c r="AO141" s="97" t="s">
        <v>1452</v>
      </c>
      <c r="AP141" s="90" t="b">
        <v>0</v>
      </c>
      <c r="AQ141" s="97" t="s">
        <v>1093</v>
      </c>
      <c r="AR141" s="90" t="s">
        <v>187</v>
      </c>
      <c r="AS141" s="90">
        <v>0</v>
      </c>
      <c r="AT141" s="90">
        <v>0</v>
      </c>
      <c r="AU141" s="90"/>
      <c r="AV141" s="90"/>
      <c r="AW141" s="90"/>
      <c r="AX141" s="90"/>
      <c r="AY141" s="90"/>
      <c r="AZ141" s="90"/>
      <c r="BA141" s="90"/>
      <c r="BB141" s="90"/>
      <c r="BC141">
        <v>2</v>
      </c>
      <c r="BD141" s="89" t="str">
        <f>REPLACE(INDEX(GroupVertices[Group],MATCH(Edges[[#This Row],[Vertex 1]],GroupVertices[Vertex],0)),1,1,"")</f>
        <v>1</v>
      </c>
      <c r="BE141" s="89" t="str">
        <f>REPLACE(INDEX(GroupVertices[Group],MATCH(Edges[[#This Row],[Vertex 2]],GroupVertices[Vertex],0)),1,1,"")</f>
        <v>1</v>
      </c>
      <c r="BF141" s="49"/>
      <c r="BG141" s="50"/>
      <c r="BH141" s="49"/>
      <c r="BI141" s="50"/>
      <c r="BJ141" s="49"/>
      <c r="BK141" s="50"/>
      <c r="BL141" s="49"/>
      <c r="BM141" s="50"/>
      <c r="BN141" s="49"/>
    </row>
    <row r="142" spans="1:66" ht="15">
      <c r="A142" s="65" t="s">
        <v>274</v>
      </c>
      <c r="B142" s="65" t="s">
        <v>430</v>
      </c>
      <c r="C142" s="66" t="s">
        <v>5817</v>
      </c>
      <c r="D142" s="67">
        <v>1</v>
      </c>
      <c r="E142" s="68" t="s">
        <v>132</v>
      </c>
      <c r="F142" s="69">
        <v>32</v>
      </c>
      <c r="G142" s="66" t="s">
        <v>51</v>
      </c>
      <c r="H142" s="70"/>
      <c r="I142" s="71"/>
      <c r="J142" s="71"/>
      <c r="K142" s="35" t="s">
        <v>65</v>
      </c>
      <c r="L142" s="79">
        <v>142</v>
      </c>
      <c r="M142" s="79"/>
      <c r="N142" s="73"/>
      <c r="O142" s="90" t="s">
        <v>525</v>
      </c>
      <c r="P142" s="93">
        <v>44530.751435185186</v>
      </c>
      <c r="Q142" s="90" t="s">
        <v>576</v>
      </c>
      <c r="R142" s="90"/>
      <c r="S142" s="90"/>
      <c r="T142" s="97" t="s">
        <v>712</v>
      </c>
      <c r="U142" s="96" t="str">
        <f>HYPERLINK("https://pbs.twimg.com/media/FFc5qVTVQAkWXE2.jpg")</f>
        <v>https://pbs.twimg.com/media/FFc5qVTVQAkWXE2.jpg</v>
      </c>
      <c r="V142" s="96" t="str">
        <f>HYPERLINK("https://pbs.twimg.com/media/FFc5qVTVQAkWXE2.jpg")</f>
        <v>https://pbs.twimg.com/media/FFc5qVTVQAkWXE2.jpg</v>
      </c>
      <c r="W142" s="93">
        <v>44530.751435185186</v>
      </c>
      <c r="X142" s="100">
        <v>44530</v>
      </c>
      <c r="Y142" s="97" t="s">
        <v>784</v>
      </c>
      <c r="Z142" s="96" t="str">
        <f>HYPERLINK("https://twitter.com/river17_eaglle/status/1465742941377515535")</f>
        <v>https://twitter.com/river17_eaglle/status/1465742941377515535</v>
      </c>
      <c r="AA142" s="90"/>
      <c r="AB142" s="90"/>
      <c r="AC142" s="97" t="s">
        <v>1036</v>
      </c>
      <c r="AD142" s="90"/>
      <c r="AE142" s="90" t="b">
        <v>0</v>
      </c>
      <c r="AF142" s="90">
        <v>0</v>
      </c>
      <c r="AG142" s="97" t="s">
        <v>1338</v>
      </c>
      <c r="AH142" s="90" t="b">
        <v>0</v>
      </c>
      <c r="AI142" s="90" t="s">
        <v>1442</v>
      </c>
      <c r="AJ142" s="90"/>
      <c r="AK142" s="97" t="s">
        <v>1338</v>
      </c>
      <c r="AL142" s="90" t="b">
        <v>0</v>
      </c>
      <c r="AM142" s="90">
        <v>18</v>
      </c>
      <c r="AN142" s="97" t="s">
        <v>1196</v>
      </c>
      <c r="AO142" s="97" t="s">
        <v>1452</v>
      </c>
      <c r="AP142" s="90" t="b">
        <v>0</v>
      </c>
      <c r="AQ142" s="97" t="s">
        <v>1196</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3</v>
      </c>
      <c r="BF142" s="49"/>
      <c r="BG142" s="50"/>
      <c r="BH142" s="49"/>
      <c r="BI142" s="50"/>
      <c r="BJ142" s="49"/>
      <c r="BK142" s="50"/>
      <c r="BL142" s="49"/>
      <c r="BM142" s="50"/>
      <c r="BN142" s="49"/>
    </row>
    <row r="143" spans="1:66" ht="15">
      <c r="A143" s="65" t="s">
        <v>274</v>
      </c>
      <c r="B143" s="65" t="s">
        <v>431</v>
      </c>
      <c r="C143" s="66" t="s">
        <v>5817</v>
      </c>
      <c r="D143" s="67">
        <v>1</v>
      </c>
      <c r="E143" s="68" t="s">
        <v>132</v>
      </c>
      <c r="F143" s="69">
        <v>32</v>
      </c>
      <c r="G143" s="66" t="s">
        <v>51</v>
      </c>
      <c r="H143" s="70"/>
      <c r="I143" s="71"/>
      <c r="J143" s="71"/>
      <c r="K143" s="35" t="s">
        <v>65</v>
      </c>
      <c r="L143" s="79">
        <v>143</v>
      </c>
      <c r="M143" s="79"/>
      <c r="N143" s="73"/>
      <c r="O143" s="90" t="s">
        <v>525</v>
      </c>
      <c r="P143" s="93">
        <v>44530.751435185186</v>
      </c>
      <c r="Q143" s="90" t="s">
        <v>576</v>
      </c>
      <c r="R143" s="90"/>
      <c r="S143" s="90"/>
      <c r="T143" s="97" t="s">
        <v>712</v>
      </c>
      <c r="U143" s="96" t="str">
        <f>HYPERLINK("https://pbs.twimg.com/media/FFc5qVTVQAkWXE2.jpg")</f>
        <v>https://pbs.twimg.com/media/FFc5qVTVQAkWXE2.jpg</v>
      </c>
      <c r="V143" s="96" t="str">
        <f>HYPERLINK("https://pbs.twimg.com/media/FFc5qVTVQAkWXE2.jpg")</f>
        <v>https://pbs.twimg.com/media/FFc5qVTVQAkWXE2.jpg</v>
      </c>
      <c r="W143" s="93">
        <v>44530.751435185186</v>
      </c>
      <c r="X143" s="100">
        <v>44530</v>
      </c>
      <c r="Y143" s="97" t="s">
        <v>784</v>
      </c>
      <c r="Z143" s="96" t="str">
        <f>HYPERLINK("https://twitter.com/river17_eaglle/status/1465742941377515535")</f>
        <v>https://twitter.com/river17_eaglle/status/1465742941377515535</v>
      </c>
      <c r="AA143" s="90"/>
      <c r="AB143" s="90"/>
      <c r="AC143" s="97" t="s">
        <v>1036</v>
      </c>
      <c r="AD143" s="90"/>
      <c r="AE143" s="90" t="b">
        <v>0</v>
      </c>
      <c r="AF143" s="90">
        <v>0</v>
      </c>
      <c r="AG143" s="97" t="s">
        <v>1338</v>
      </c>
      <c r="AH143" s="90" t="b">
        <v>0</v>
      </c>
      <c r="AI143" s="90" t="s">
        <v>1442</v>
      </c>
      <c r="AJ143" s="90"/>
      <c r="AK143" s="97" t="s">
        <v>1338</v>
      </c>
      <c r="AL143" s="90" t="b">
        <v>0</v>
      </c>
      <c r="AM143" s="90">
        <v>18</v>
      </c>
      <c r="AN143" s="97" t="s">
        <v>1196</v>
      </c>
      <c r="AO143" s="97" t="s">
        <v>1452</v>
      </c>
      <c r="AP143" s="90" t="b">
        <v>0</v>
      </c>
      <c r="AQ143" s="97" t="s">
        <v>1196</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3</v>
      </c>
      <c r="BF143" s="49"/>
      <c r="BG143" s="50"/>
      <c r="BH143" s="49"/>
      <c r="BI143" s="50"/>
      <c r="BJ143" s="49"/>
      <c r="BK143" s="50"/>
      <c r="BL143" s="49"/>
      <c r="BM143" s="50"/>
      <c r="BN143" s="49"/>
    </row>
    <row r="144" spans="1:66" ht="15">
      <c r="A144" s="65" t="s">
        <v>274</v>
      </c>
      <c r="B144" s="65" t="s">
        <v>368</v>
      </c>
      <c r="C144" s="66" t="s">
        <v>5817</v>
      </c>
      <c r="D144" s="67">
        <v>1</v>
      </c>
      <c r="E144" s="68" t="s">
        <v>132</v>
      </c>
      <c r="F144" s="69">
        <v>32</v>
      </c>
      <c r="G144" s="66" t="s">
        <v>51</v>
      </c>
      <c r="H144" s="70"/>
      <c r="I144" s="71"/>
      <c r="J144" s="71"/>
      <c r="K144" s="35" t="s">
        <v>65</v>
      </c>
      <c r="L144" s="79">
        <v>144</v>
      </c>
      <c r="M144" s="79"/>
      <c r="N144" s="73"/>
      <c r="O144" s="90" t="s">
        <v>522</v>
      </c>
      <c r="P144" s="93">
        <v>44530.751435185186</v>
      </c>
      <c r="Q144" s="90" t="s">
        <v>576</v>
      </c>
      <c r="R144" s="90"/>
      <c r="S144" s="90"/>
      <c r="T144" s="97" t="s">
        <v>712</v>
      </c>
      <c r="U144" s="96" t="str">
        <f>HYPERLINK("https://pbs.twimg.com/media/FFc5qVTVQAkWXE2.jpg")</f>
        <v>https://pbs.twimg.com/media/FFc5qVTVQAkWXE2.jpg</v>
      </c>
      <c r="V144" s="96" t="str">
        <f>HYPERLINK("https://pbs.twimg.com/media/FFc5qVTVQAkWXE2.jpg")</f>
        <v>https://pbs.twimg.com/media/FFc5qVTVQAkWXE2.jpg</v>
      </c>
      <c r="W144" s="93">
        <v>44530.751435185186</v>
      </c>
      <c r="X144" s="100">
        <v>44530</v>
      </c>
      <c r="Y144" s="97" t="s">
        <v>784</v>
      </c>
      <c r="Z144" s="96" t="str">
        <f>HYPERLINK("https://twitter.com/river17_eaglle/status/1465742941377515535")</f>
        <v>https://twitter.com/river17_eaglle/status/1465742941377515535</v>
      </c>
      <c r="AA144" s="90"/>
      <c r="AB144" s="90"/>
      <c r="AC144" s="97" t="s">
        <v>1036</v>
      </c>
      <c r="AD144" s="90"/>
      <c r="AE144" s="90" t="b">
        <v>0</v>
      </c>
      <c r="AF144" s="90">
        <v>0</v>
      </c>
      <c r="AG144" s="97" t="s">
        <v>1338</v>
      </c>
      <c r="AH144" s="90" t="b">
        <v>0</v>
      </c>
      <c r="AI144" s="90" t="s">
        <v>1442</v>
      </c>
      <c r="AJ144" s="90"/>
      <c r="AK144" s="97" t="s">
        <v>1338</v>
      </c>
      <c r="AL144" s="90" t="b">
        <v>0</v>
      </c>
      <c r="AM144" s="90">
        <v>18</v>
      </c>
      <c r="AN144" s="97" t="s">
        <v>1196</v>
      </c>
      <c r="AO144" s="97" t="s">
        <v>1452</v>
      </c>
      <c r="AP144" s="90" t="b">
        <v>0</v>
      </c>
      <c r="AQ144" s="97" t="s">
        <v>1196</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3</v>
      </c>
      <c r="BF144" s="49">
        <v>0</v>
      </c>
      <c r="BG144" s="50">
        <v>0</v>
      </c>
      <c r="BH144" s="49">
        <v>0</v>
      </c>
      <c r="BI144" s="50">
        <v>0</v>
      </c>
      <c r="BJ144" s="49">
        <v>0</v>
      </c>
      <c r="BK144" s="50">
        <v>0</v>
      </c>
      <c r="BL144" s="49">
        <v>13</v>
      </c>
      <c r="BM144" s="50">
        <v>100</v>
      </c>
      <c r="BN144" s="49">
        <v>13</v>
      </c>
    </row>
    <row r="145" spans="1:66" ht="15">
      <c r="A145" s="65" t="s">
        <v>275</v>
      </c>
      <c r="B145" s="65" t="s">
        <v>349</v>
      </c>
      <c r="C145" s="66" t="s">
        <v>5817</v>
      </c>
      <c r="D145" s="67">
        <v>1</v>
      </c>
      <c r="E145" s="68" t="s">
        <v>132</v>
      </c>
      <c r="F145" s="69">
        <v>32</v>
      </c>
      <c r="G145" s="66" t="s">
        <v>51</v>
      </c>
      <c r="H145" s="70"/>
      <c r="I145" s="71"/>
      <c r="J145" s="71"/>
      <c r="K145" s="35" t="s">
        <v>65</v>
      </c>
      <c r="L145" s="79">
        <v>145</v>
      </c>
      <c r="M145" s="79"/>
      <c r="N145" s="73"/>
      <c r="O145" s="90" t="s">
        <v>522</v>
      </c>
      <c r="P145" s="93">
        <v>44530.751863425925</v>
      </c>
      <c r="Q145" s="90" t="s">
        <v>577</v>
      </c>
      <c r="R145" s="90"/>
      <c r="S145" s="90"/>
      <c r="T145" s="97" t="s">
        <v>226</v>
      </c>
      <c r="U145" s="90"/>
      <c r="V145" s="96" t="str">
        <f>HYPERLINK("https://pbs.twimg.com/profile_images/1165166928966668293/JLUS-M4Z_normal.jpg")</f>
        <v>https://pbs.twimg.com/profile_images/1165166928966668293/JLUS-M4Z_normal.jpg</v>
      </c>
      <c r="W145" s="93">
        <v>44530.751863425925</v>
      </c>
      <c r="X145" s="100">
        <v>44530</v>
      </c>
      <c r="Y145" s="97" t="s">
        <v>785</v>
      </c>
      <c r="Z145" s="96" t="str">
        <f>HYPERLINK("https://twitter.com/hilmisdilmis/status/1465743096935821320")</f>
        <v>https://twitter.com/hilmisdilmis/status/1465743096935821320</v>
      </c>
      <c r="AA145" s="90"/>
      <c r="AB145" s="90"/>
      <c r="AC145" s="97" t="s">
        <v>1037</v>
      </c>
      <c r="AD145" s="90"/>
      <c r="AE145" s="90" t="b">
        <v>0</v>
      </c>
      <c r="AF145" s="90">
        <v>0</v>
      </c>
      <c r="AG145" s="97" t="s">
        <v>1338</v>
      </c>
      <c r="AH145" s="90" t="b">
        <v>0</v>
      </c>
      <c r="AI145" s="90" t="s">
        <v>1442</v>
      </c>
      <c r="AJ145" s="90"/>
      <c r="AK145" s="97" t="s">
        <v>1338</v>
      </c>
      <c r="AL145" s="90" t="b">
        <v>0</v>
      </c>
      <c r="AM145" s="90">
        <v>14</v>
      </c>
      <c r="AN145" s="97" t="s">
        <v>1178</v>
      </c>
      <c r="AO145" s="97" t="s">
        <v>1450</v>
      </c>
      <c r="AP145" s="90" t="b">
        <v>0</v>
      </c>
      <c r="AQ145" s="97" t="s">
        <v>1178</v>
      </c>
      <c r="AR145" s="90" t="s">
        <v>187</v>
      </c>
      <c r="AS145" s="90">
        <v>0</v>
      </c>
      <c r="AT145" s="90">
        <v>0</v>
      </c>
      <c r="AU145" s="90"/>
      <c r="AV145" s="90"/>
      <c r="AW145" s="90"/>
      <c r="AX145" s="90"/>
      <c r="AY145" s="90"/>
      <c r="AZ145" s="90"/>
      <c r="BA145" s="90"/>
      <c r="BB145" s="90"/>
      <c r="BC145">
        <v>1</v>
      </c>
      <c r="BD145" s="89" t="str">
        <f>REPLACE(INDEX(GroupVertices[Group],MATCH(Edges[[#This Row],[Vertex 1]],GroupVertices[Vertex],0)),1,1,"")</f>
        <v>5</v>
      </c>
      <c r="BE145" s="89" t="str">
        <f>REPLACE(INDEX(GroupVertices[Group],MATCH(Edges[[#This Row],[Vertex 2]],GroupVertices[Vertex],0)),1,1,"")</f>
        <v>5</v>
      </c>
      <c r="BF145" s="49"/>
      <c r="BG145" s="50"/>
      <c r="BH145" s="49"/>
      <c r="BI145" s="50"/>
      <c r="BJ145" s="49"/>
      <c r="BK145" s="50"/>
      <c r="BL145" s="49"/>
      <c r="BM145" s="50"/>
      <c r="BN145" s="49"/>
    </row>
    <row r="146" spans="1:66" ht="15">
      <c r="A146" s="65" t="s">
        <v>275</v>
      </c>
      <c r="B146" s="65" t="s">
        <v>432</v>
      </c>
      <c r="C146" s="66" t="s">
        <v>5817</v>
      </c>
      <c r="D146" s="67">
        <v>1</v>
      </c>
      <c r="E146" s="68" t="s">
        <v>132</v>
      </c>
      <c r="F146" s="69">
        <v>32</v>
      </c>
      <c r="G146" s="66" t="s">
        <v>51</v>
      </c>
      <c r="H146" s="70"/>
      <c r="I146" s="71"/>
      <c r="J146" s="71"/>
      <c r="K146" s="35" t="s">
        <v>65</v>
      </c>
      <c r="L146" s="79">
        <v>146</v>
      </c>
      <c r="M146" s="79"/>
      <c r="N146" s="73"/>
      <c r="O146" s="90" t="s">
        <v>523</v>
      </c>
      <c r="P146" s="93">
        <v>44530.751863425925</v>
      </c>
      <c r="Q146" s="90" t="s">
        <v>577</v>
      </c>
      <c r="R146" s="90"/>
      <c r="S146" s="90"/>
      <c r="T146" s="97" t="s">
        <v>226</v>
      </c>
      <c r="U146" s="90"/>
      <c r="V146" s="96" t="str">
        <f>HYPERLINK("https://pbs.twimg.com/profile_images/1165166928966668293/JLUS-M4Z_normal.jpg")</f>
        <v>https://pbs.twimg.com/profile_images/1165166928966668293/JLUS-M4Z_normal.jpg</v>
      </c>
      <c r="W146" s="93">
        <v>44530.751863425925</v>
      </c>
      <c r="X146" s="100">
        <v>44530</v>
      </c>
      <c r="Y146" s="97" t="s">
        <v>785</v>
      </c>
      <c r="Z146" s="96" t="str">
        <f>HYPERLINK("https://twitter.com/hilmisdilmis/status/1465743096935821320")</f>
        <v>https://twitter.com/hilmisdilmis/status/1465743096935821320</v>
      </c>
      <c r="AA146" s="90"/>
      <c r="AB146" s="90"/>
      <c r="AC146" s="97" t="s">
        <v>1037</v>
      </c>
      <c r="AD146" s="90"/>
      <c r="AE146" s="90" t="b">
        <v>0</v>
      </c>
      <c r="AF146" s="90">
        <v>0</v>
      </c>
      <c r="AG146" s="97" t="s">
        <v>1338</v>
      </c>
      <c r="AH146" s="90" t="b">
        <v>0</v>
      </c>
      <c r="AI146" s="90" t="s">
        <v>1442</v>
      </c>
      <c r="AJ146" s="90"/>
      <c r="AK146" s="97" t="s">
        <v>1338</v>
      </c>
      <c r="AL146" s="90" t="b">
        <v>0</v>
      </c>
      <c r="AM146" s="90">
        <v>14</v>
      </c>
      <c r="AN146" s="97" t="s">
        <v>1178</v>
      </c>
      <c r="AO146" s="97" t="s">
        <v>1450</v>
      </c>
      <c r="AP146" s="90" t="b">
        <v>0</v>
      </c>
      <c r="AQ146" s="97" t="s">
        <v>1178</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5</v>
      </c>
      <c r="BE146" s="89" t="str">
        <f>REPLACE(INDEX(GroupVertices[Group],MATCH(Edges[[#This Row],[Vertex 2]],GroupVertices[Vertex],0)),1,1,"")</f>
        <v>5</v>
      </c>
      <c r="BF146" s="49">
        <v>0</v>
      </c>
      <c r="BG146" s="50">
        <v>0</v>
      </c>
      <c r="BH146" s="49">
        <v>0</v>
      </c>
      <c r="BI146" s="50">
        <v>0</v>
      </c>
      <c r="BJ146" s="49">
        <v>0</v>
      </c>
      <c r="BK146" s="50">
        <v>0</v>
      </c>
      <c r="BL146" s="49">
        <v>29</v>
      </c>
      <c r="BM146" s="50">
        <v>100</v>
      </c>
      <c r="BN146" s="49">
        <v>29</v>
      </c>
    </row>
    <row r="147" spans="1:66" ht="15">
      <c r="A147" s="65" t="s">
        <v>276</v>
      </c>
      <c r="B147" s="65" t="s">
        <v>349</v>
      </c>
      <c r="C147" s="66" t="s">
        <v>5817</v>
      </c>
      <c r="D147" s="67">
        <v>1</v>
      </c>
      <c r="E147" s="68" t="s">
        <v>132</v>
      </c>
      <c r="F147" s="69">
        <v>32</v>
      </c>
      <c r="G147" s="66" t="s">
        <v>51</v>
      </c>
      <c r="H147" s="70"/>
      <c r="I147" s="71"/>
      <c r="J147" s="71"/>
      <c r="K147" s="35" t="s">
        <v>65</v>
      </c>
      <c r="L147" s="79">
        <v>147</v>
      </c>
      <c r="M147" s="79"/>
      <c r="N147" s="73"/>
      <c r="O147" s="90" t="s">
        <v>522</v>
      </c>
      <c r="P147" s="93">
        <v>44530.77186342593</v>
      </c>
      <c r="Q147" s="90" t="s">
        <v>577</v>
      </c>
      <c r="R147" s="90"/>
      <c r="S147" s="90"/>
      <c r="T147" s="97" t="s">
        <v>226</v>
      </c>
      <c r="U147" s="90"/>
      <c r="V147" s="96" t="str">
        <f>HYPERLINK("https://abs.twimg.com/sticky/default_profile_images/default_profile_normal.png")</f>
        <v>https://abs.twimg.com/sticky/default_profile_images/default_profile_normal.png</v>
      </c>
      <c r="W147" s="93">
        <v>44530.77186342593</v>
      </c>
      <c r="X147" s="100">
        <v>44530</v>
      </c>
      <c r="Y147" s="97" t="s">
        <v>786</v>
      </c>
      <c r="Z147" s="96" t="str">
        <f>HYPERLINK("https://twitter.com/teris69400629/status/1465750347595624457")</f>
        <v>https://twitter.com/teris69400629/status/1465750347595624457</v>
      </c>
      <c r="AA147" s="90"/>
      <c r="AB147" s="90"/>
      <c r="AC147" s="97" t="s">
        <v>1038</v>
      </c>
      <c r="AD147" s="90"/>
      <c r="AE147" s="90" t="b">
        <v>0</v>
      </c>
      <c r="AF147" s="90">
        <v>0</v>
      </c>
      <c r="AG147" s="97" t="s">
        <v>1338</v>
      </c>
      <c r="AH147" s="90" t="b">
        <v>0</v>
      </c>
      <c r="AI147" s="90" t="s">
        <v>1442</v>
      </c>
      <c r="AJ147" s="90"/>
      <c r="AK147" s="97" t="s">
        <v>1338</v>
      </c>
      <c r="AL147" s="90" t="b">
        <v>0</v>
      </c>
      <c r="AM147" s="90">
        <v>14</v>
      </c>
      <c r="AN147" s="97" t="s">
        <v>1178</v>
      </c>
      <c r="AO147" s="97" t="s">
        <v>1452</v>
      </c>
      <c r="AP147" s="90" t="b">
        <v>0</v>
      </c>
      <c r="AQ147" s="97" t="s">
        <v>1178</v>
      </c>
      <c r="AR147" s="90" t="s">
        <v>187</v>
      </c>
      <c r="AS147" s="90">
        <v>0</v>
      </c>
      <c r="AT147" s="90">
        <v>0</v>
      </c>
      <c r="AU147" s="90"/>
      <c r="AV147" s="90"/>
      <c r="AW147" s="90"/>
      <c r="AX147" s="90"/>
      <c r="AY147" s="90"/>
      <c r="AZ147" s="90"/>
      <c r="BA147" s="90"/>
      <c r="BB147" s="90"/>
      <c r="BC147">
        <v>1</v>
      </c>
      <c r="BD147" s="89" t="str">
        <f>REPLACE(INDEX(GroupVertices[Group],MATCH(Edges[[#This Row],[Vertex 1]],GroupVertices[Vertex],0)),1,1,"")</f>
        <v>5</v>
      </c>
      <c r="BE147" s="89" t="str">
        <f>REPLACE(INDEX(GroupVertices[Group],MATCH(Edges[[#This Row],[Vertex 2]],GroupVertices[Vertex],0)),1,1,"")</f>
        <v>5</v>
      </c>
      <c r="BF147" s="49"/>
      <c r="BG147" s="50"/>
      <c r="BH147" s="49"/>
      <c r="BI147" s="50"/>
      <c r="BJ147" s="49"/>
      <c r="BK147" s="50"/>
      <c r="BL147" s="49"/>
      <c r="BM147" s="50"/>
      <c r="BN147" s="49"/>
    </row>
    <row r="148" spans="1:66" ht="15">
      <c r="A148" s="65" t="s">
        <v>276</v>
      </c>
      <c r="B148" s="65" t="s">
        <v>432</v>
      </c>
      <c r="C148" s="66" t="s">
        <v>5817</v>
      </c>
      <c r="D148" s="67">
        <v>1</v>
      </c>
      <c r="E148" s="68" t="s">
        <v>132</v>
      </c>
      <c r="F148" s="69">
        <v>32</v>
      </c>
      <c r="G148" s="66" t="s">
        <v>51</v>
      </c>
      <c r="H148" s="70"/>
      <c r="I148" s="71"/>
      <c r="J148" s="71"/>
      <c r="K148" s="35" t="s">
        <v>65</v>
      </c>
      <c r="L148" s="79">
        <v>148</v>
      </c>
      <c r="M148" s="79"/>
      <c r="N148" s="73"/>
      <c r="O148" s="90" t="s">
        <v>523</v>
      </c>
      <c r="P148" s="93">
        <v>44530.77186342593</v>
      </c>
      <c r="Q148" s="90" t="s">
        <v>577</v>
      </c>
      <c r="R148" s="90"/>
      <c r="S148" s="90"/>
      <c r="T148" s="97" t="s">
        <v>226</v>
      </c>
      <c r="U148" s="90"/>
      <c r="V148" s="96" t="str">
        <f>HYPERLINK("https://abs.twimg.com/sticky/default_profile_images/default_profile_normal.png")</f>
        <v>https://abs.twimg.com/sticky/default_profile_images/default_profile_normal.png</v>
      </c>
      <c r="W148" s="93">
        <v>44530.77186342593</v>
      </c>
      <c r="X148" s="100">
        <v>44530</v>
      </c>
      <c r="Y148" s="97" t="s">
        <v>786</v>
      </c>
      <c r="Z148" s="96" t="str">
        <f>HYPERLINK("https://twitter.com/teris69400629/status/1465750347595624457")</f>
        <v>https://twitter.com/teris69400629/status/1465750347595624457</v>
      </c>
      <c r="AA148" s="90"/>
      <c r="AB148" s="90"/>
      <c r="AC148" s="97" t="s">
        <v>1038</v>
      </c>
      <c r="AD148" s="90"/>
      <c r="AE148" s="90" t="b">
        <v>0</v>
      </c>
      <c r="AF148" s="90">
        <v>0</v>
      </c>
      <c r="AG148" s="97" t="s">
        <v>1338</v>
      </c>
      <c r="AH148" s="90" t="b">
        <v>0</v>
      </c>
      <c r="AI148" s="90" t="s">
        <v>1442</v>
      </c>
      <c r="AJ148" s="90"/>
      <c r="AK148" s="97" t="s">
        <v>1338</v>
      </c>
      <c r="AL148" s="90" t="b">
        <v>0</v>
      </c>
      <c r="AM148" s="90">
        <v>14</v>
      </c>
      <c r="AN148" s="97" t="s">
        <v>1178</v>
      </c>
      <c r="AO148" s="97" t="s">
        <v>1452</v>
      </c>
      <c r="AP148" s="90" t="b">
        <v>0</v>
      </c>
      <c r="AQ148" s="97" t="s">
        <v>1178</v>
      </c>
      <c r="AR148" s="90" t="s">
        <v>187</v>
      </c>
      <c r="AS148" s="90">
        <v>0</v>
      </c>
      <c r="AT148" s="90">
        <v>0</v>
      </c>
      <c r="AU148" s="90"/>
      <c r="AV148" s="90"/>
      <c r="AW148" s="90"/>
      <c r="AX148" s="90"/>
      <c r="AY148" s="90"/>
      <c r="AZ148" s="90"/>
      <c r="BA148" s="90"/>
      <c r="BB148" s="90"/>
      <c r="BC148">
        <v>1</v>
      </c>
      <c r="BD148" s="89" t="str">
        <f>REPLACE(INDEX(GroupVertices[Group],MATCH(Edges[[#This Row],[Vertex 1]],GroupVertices[Vertex],0)),1,1,"")</f>
        <v>5</v>
      </c>
      <c r="BE148" s="89" t="str">
        <f>REPLACE(INDEX(GroupVertices[Group],MATCH(Edges[[#This Row],[Vertex 2]],GroupVertices[Vertex],0)),1,1,"")</f>
        <v>5</v>
      </c>
      <c r="BF148" s="49">
        <v>0</v>
      </c>
      <c r="BG148" s="50">
        <v>0</v>
      </c>
      <c r="BH148" s="49">
        <v>0</v>
      </c>
      <c r="BI148" s="50">
        <v>0</v>
      </c>
      <c r="BJ148" s="49">
        <v>0</v>
      </c>
      <c r="BK148" s="50">
        <v>0</v>
      </c>
      <c r="BL148" s="49">
        <v>29</v>
      </c>
      <c r="BM148" s="50">
        <v>100</v>
      </c>
      <c r="BN148" s="49">
        <v>29</v>
      </c>
    </row>
    <row r="149" spans="1:66" ht="15">
      <c r="A149" s="65" t="s">
        <v>277</v>
      </c>
      <c r="B149" s="65" t="s">
        <v>349</v>
      </c>
      <c r="C149" s="66" t="s">
        <v>5817</v>
      </c>
      <c r="D149" s="67">
        <v>1</v>
      </c>
      <c r="E149" s="68" t="s">
        <v>132</v>
      </c>
      <c r="F149" s="69">
        <v>32</v>
      </c>
      <c r="G149" s="66" t="s">
        <v>51</v>
      </c>
      <c r="H149" s="70"/>
      <c r="I149" s="71"/>
      <c r="J149" s="71"/>
      <c r="K149" s="35" t="s">
        <v>65</v>
      </c>
      <c r="L149" s="79">
        <v>149</v>
      </c>
      <c r="M149" s="79"/>
      <c r="N149" s="73"/>
      <c r="O149" s="90" t="s">
        <v>522</v>
      </c>
      <c r="P149" s="93">
        <v>44530.772523148145</v>
      </c>
      <c r="Q149" s="90" t="s">
        <v>577</v>
      </c>
      <c r="R149" s="90"/>
      <c r="S149" s="90"/>
      <c r="T149" s="97" t="s">
        <v>226</v>
      </c>
      <c r="U149" s="90"/>
      <c r="V149" s="96" t="str">
        <f>HYPERLINK("https://abs.twimg.com/sticky/default_profile_images/default_profile_normal.png")</f>
        <v>https://abs.twimg.com/sticky/default_profile_images/default_profile_normal.png</v>
      </c>
      <c r="W149" s="93">
        <v>44530.772523148145</v>
      </c>
      <c r="X149" s="100">
        <v>44530</v>
      </c>
      <c r="Y149" s="97" t="s">
        <v>787</v>
      </c>
      <c r="Z149" s="96" t="str">
        <f>HYPERLINK("https://twitter.com/maalaistollo/status/1465750583630045185")</f>
        <v>https://twitter.com/maalaistollo/status/1465750583630045185</v>
      </c>
      <c r="AA149" s="90"/>
      <c r="AB149" s="90"/>
      <c r="AC149" s="97" t="s">
        <v>1039</v>
      </c>
      <c r="AD149" s="90"/>
      <c r="AE149" s="90" t="b">
        <v>0</v>
      </c>
      <c r="AF149" s="90">
        <v>0</v>
      </c>
      <c r="AG149" s="97" t="s">
        <v>1338</v>
      </c>
      <c r="AH149" s="90" t="b">
        <v>0</v>
      </c>
      <c r="AI149" s="90" t="s">
        <v>1442</v>
      </c>
      <c r="AJ149" s="90"/>
      <c r="AK149" s="97" t="s">
        <v>1338</v>
      </c>
      <c r="AL149" s="90" t="b">
        <v>0</v>
      </c>
      <c r="AM149" s="90">
        <v>14</v>
      </c>
      <c r="AN149" s="97" t="s">
        <v>1178</v>
      </c>
      <c r="AO149" s="97" t="s">
        <v>1451</v>
      </c>
      <c r="AP149" s="90" t="b">
        <v>0</v>
      </c>
      <c r="AQ149" s="97" t="s">
        <v>1178</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5</v>
      </c>
      <c r="BE149" s="89" t="str">
        <f>REPLACE(INDEX(GroupVertices[Group],MATCH(Edges[[#This Row],[Vertex 2]],GroupVertices[Vertex],0)),1,1,"")</f>
        <v>5</v>
      </c>
      <c r="BF149" s="49"/>
      <c r="BG149" s="50"/>
      <c r="BH149" s="49"/>
      <c r="BI149" s="50"/>
      <c r="BJ149" s="49"/>
      <c r="BK149" s="50"/>
      <c r="BL149" s="49"/>
      <c r="BM149" s="50"/>
      <c r="BN149" s="49"/>
    </row>
    <row r="150" spans="1:66" ht="15">
      <c r="A150" s="65" t="s">
        <v>277</v>
      </c>
      <c r="B150" s="65" t="s">
        <v>432</v>
      </c>
      <c r="C150" s="66" t="s">
        <v>5817</v>
      </c>
      <c r="D150" s="67">
        <v>1</v>
      </c>
      <c r="E150" s="68" t="s">
        <v>132</v>
      </c>
      <c r="F150" s="69">
        <v>32</v>
      </c>
      <c r="G150" s="66" t="s">
        <v>51</v>
      </c>
      <c r="H150" s="70"/>
      <c r="I150" s="71"/>
      <c r="J150" s="71"/>
      <c r="K150" s="35" t="s">
        <v>65</v>
      </c>
      <c r="L150" s="79">
        <v>150</v>
      </c>
      <c r="M150" s="79"/>
      <c r="N150" s="73"/>
      <c r="O150" s="90" t="s">
        <v>523</v>
      </c>
      <c r="P150" s="93">
        <v>44530.772523148145</v>
      </c>
      <c r="Q150" s="90" t="s">
        <v>577</v>
      </c>
      <c r="R150" s="90"/>
      <c r="S150" s="90"/>
      <c r="T150" s="97" t="s">
        <v>226</v>
      </c>
      <c r="U150" s="90"/>
      <c r="V150" s="96" t="str">
        <f>HYPERLINK("https://abs.twimg.com/sticky/default_profile_images/default_profile_normal.png")</f>
        <v>https://abs.twimg.com/sticky/default_profile_images/default_profile_normal.png</v>
      </c>
      <c r="W150" s="93">
        <v>44530.772523148145</v>
      </c>
      <c r="X150" s="100">
        <v>44530</v>
      </c>
      <c r="Y150" s="97" t="s">
        <v>787</v>
      </c>
      <c r="Z150" s="96" t="str">
        <f>HYPERLINK("https://twitter.com/maalaistollo/status/1465750583630045185")</f>
        <v>https://twitter.com/maalaistollo/status/1465750583630045185</v>
      </c>
      <c r="AA150" s="90"/>
      <c r="AB150" s="90"/>
      <c r="AC150" s="97" t="s">
        <v>1039</v>
      </c>
      <c r="AD150" s="90"/>
      <c r="AE150" s="90" t="b">
        <v>0</v>
      </c>
      <c r="AF150" s="90">
        <v>0</v>
      </c>
      <c r="AG150" s="97" t="s">
        <v>1338</v>
      </c>
      <c r="AH150" s="90" t="b">
        <v>0</v>
      </c>
      <c r="AI150" s="90" t="s">
        <v>1442</v>
      </c>
      <c r="AJ150" s="90"/>
      <c r="AK150" s="97" t="s">
        <v>1338</v>
      </c>
      <c r="AL150" s="90" t="b">
        <v>0</v>
      </c>
      <c r="AM150" s="90">
        <v>14</v>
      </c>
      <c r="AN150" s="97" t="s">
        <v>1178</v>
      </c>
      <c r="AO150" s="97" t="s">
        <v>1451</v>
      </c>
      <c r="AP150" s="90" t="b">
        <v>0</v>
      </c>
      <c r="AQ150" s="97" t="s">
        <v>1178</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5</v>
      </c>
      <c r="BE150" s="89" t="str">
        <f>REPLACE(INDEX(GroupVertices[Group],MATCH(Edges[[#This Row],[Vertex 2]],GroupVertices[Vertex],0)),1,1,"")</f>
        <v>5</v>
      </c>
      <c r="BF150" s="49">
        <v>0</v>
      </c>
      <c r="BG150" s="50">
        <v>0</v>
      </c>
      <c r="BH150" s="49">
        <v>0</v>
      </c>
      <c r="BI150" s="50">
        <v>0</v>
      </c>
      <c r="BJ150" s="49">
        <v>0</v>
      </c>
      <c r="BK150" s="50">
        <v>0</v>
      </c>
      <c r="BL150" s="49">
        <v>29</v>
      </c>
      <c r="BM150" s="50">
        <v>100</v>
      </c>
      <c r="BN150" s="49">
        <v>29</v>
      </c>
    </row>
    <row r="151" spans="1:66" ht="15">
      <c r="A151" s="65" t="s">
        <v>278</v>
      </c>
      <c r="B151" s="65" t="s">
        <v>349</v>
      </c>
      <c r="C151" s="66" t="s">
        <v>5817</v>
      </c>
      <c r="D151" s="67">
        <v>1</v>
      </c>
      <c r="E151" s="68" t="s">
        <v>132</v>
      </c>
      <c r="F151" s="69">
        <v>32</v>
      </c>
      <c r="G151" s="66" t="s">
        <v>51</v>
      </c>
      <c r="H151" s="70"/>
      <c r="I151" s="71"/>
      <c r="J151" s="71"/>
      <c r="K151" s="35" t="s">
        <v>65</v>
      </c>
      <c r="L151" s="79">
        <v>151</v>
      </c>
      <c r="M151" s="79"/>
      <c r="N151" s="73"/>
      <c r="O151" s="90" t="s">
        <v>522</v>
      </c>
      <c r="P151" s="93">
        <v>44530.78696759259</v>
      </c>
      <c r="Q151" s="90" t="s">
        <v>577</v>
      </c>
      <c r="R151" s="90"/>
      <c r="S151" s="90"/>
      <c r="T151" s="97" t="s">
        <v>226</v>
      </c>
      <c r="U151" s="90"/>
      <c r="V151" s="96" t="str">
        <f>HYPERLINK("https://pbs.twimg.com/profile_images/1198725504657956866/7hEEi-6f_normal.jpg")</f>
        <v>https://pbs.twimg.com/profile_images/1198725504657956866/7hEEi-6f_normal.jpg</v>
      </c>
      <c r="W151" s="93">
        <v>44530.78696759259</v>
      </c>
      <c r="X151" s="100">
        <v>44530</v>
      </c>
      <c r="Y151" s="97" t="s">
        <v>788</v>
      </c>
      <c r="Z151" s="96" t="str">
        <f>HYPERLINK("https://twitter.com/astfroglogy/status/1465755819379724293")</f>
        <v>https://twitter.com/astfroglogy/status/1465755819379724293</v>
      </c>
      <c r="AA151" s="90"/>
      <c r="AB151" s="90"/>
      <c r="AC151" s="97" t="s">
        <v>1040</v>
      </c>
      <c r="AD151" s="90"/>
      <c r="AE151" s="90" t="b">
        <v>0</v>
      </c>
      <c r="AF151" s="90">
        <v>0</v>
      </c>
      <c r="AG151" s="97" t="s">
        <v>1338</v>
      </c>
      <c r="AH151" s="90" t="b">
        <v>0</v>
      </c>
      <c r="AI151" s="90" t="s">
        <v>1442</v>
      </c>
      <c r="AJ151" s="90"/>
      <c r="AK151" s="97" t="s">
        <v>1338</v>
      </c>
      <c r="AL151" s="90" t="b">
        <v>0</v>
      </c>
      <c r="AM151" s="90">
        <v>14</v>
      </c>
      <c r="AN151" s="97" t="s">
        <v>1178</v>
      </c>
      <c r="AO151" s="97" t="s">
        <v>1450</v>
      </c>
      <c r="AP151" s="90" t="b">
        <v>0</v>
      </c>
      <c r="AQ151" s="97" t="s">
        <v>1178</v>
      </c>
      <c r="AR151" s="90" t="s">
        <v>187</v>
      </c>
      <c r="AS151" s="90">
        <v>0</v>
      </c>
      <c r="AT151" s="90">
        <v>0</v>
      </c>
      <c r="AU151" s="90"/>
      <c r="AV151" s="90"/>
      <c r="AW151" s="90"/>
      <c r="AX151" s="90"/>
      <c r="AY151" s="90"/>
      <c r="AZ151" s="90"/>
      <c r="BA151" s="90"/>
      <c r="BB151" s="90"/>
      <c r="BC151">
        <v>1</v>
      </c>
      <c r="BD151" s="89" t="str">
        <f>REPLACE(INDEX(GroupVertices[Group],MATCH(Edges[[#This Row],[Vertex 1]],GroupVertices[Vertex],0)),1,1,"")</f>
        <v>5</v>
      </c>
      <c r="BE151" s="89" t="str">
        <f>REPLACE(INDEX(GroupVertices[Group],MATCH(Edges[[#This Row],[Vertex 2]],GroupVertices[Vertex],0)),1,1,"")</f>
        <v>5</v>
      </c>
      <c r="BF151" s="49"/>
      <c r="BG151" s="50"/>
      <c r="BH151" s="49"/>
      <c r="BI151" s="50"/>
      <c r="BJ151" s="49"/>
      <c r="BK151" s="50"/>
      <c r="BL151" s="49"/>
      <c r="BM151" s="50"/>
      <c r="BN151" s="49"/>
    </row>
    <row r="152" spans="1:66" ht="15">
      <c r="A152" s="65" t="s">
        <v>278</v>
      </c>
      <c r="B152" s="65" t="s">
        <v>432</v>
      </c>
      <c r="C152" s="66" t="s">
        <v>5817</v>
      </c>
      <c r="D152" s="67">
        <v>1</v>
      </c>
      <c r="E152" s="68" t="s">
        <v>132</v>
      </c>
      <c r="F152" s="69">
        <v>32</v>
      </c>
      <c r="G152" s="66" t="s">
        <v>51</v>
      </c>
      <c r="H152" s="70"/>
      <c r="I152" s="71"/>
      <c r="J152" s="71"/>
      <c r="K152" s="35" t="s">
        <v>65</v>
      </c>
      <c r="L152" s="79">
        <v>152</v>
      </c>
      <c r="M152" s="79"/>
      <c r="N152" s="73"/>
      <c r="O152" s="90" t="s">
        <v>523</v>
      </c>
      <c r="P152" s="93">
        <v>44530.78696759259</v>
      </c>
      <c r="Q152" s="90" t="s">
        <v>577</v>
      </c>
      <c r="R152" s="90"/>
      <c r="S152" s="90"/>
      <c r="T152" s="97" t="s">
        <v>226</v>
      </c>
      <c r="U152" s="90"/>
      <c r="V152" s="96" t="str">
        <f>HYPERLINK("https://pbs.twimg.com/profile_images/1198725504657956866/7hEEi-6f_normal.jpg")</f>
        <v>https://pbs.twimg.com/profile_images/1198725504657956866/7hEEi-6f_normal.jpg</v>
      </c>
      <c r="W152" s="93">
        <v>44530.78696759259</v>
      </c>
      <c r="X152" s="100">
        <v>44530</v>
      </c>
      <c r="Y152" s="97" t="s">
        <v>788</v>
      </c>
      <c r="Z152" s="96" t="str">
        <f>HYPERLINK("https://twitter.com/astfroglogy/status/1465755819379724293")</f>
        <v>https://twitter.com/astfroglogy/status/1465755819379724293</v>
      </c>
      <c r="AA152" s="90"/>
      <c r="AB152" s="90"/>
      <c r="AC152" s="97" t="s">
        <v>1040</v>
      </c>
      <c r="AD152" s="90"/>
      <c r="AE152" s="90" t="b">
        <v>0</v>
      </c>
      <c r="AF152" s="90">
        <v>0</v>
      </c>
      <c r="AG152" s="97" t="s">
        <v>1338</v>
      </c>
      <c r="AH152" s="90" t="b">
        <v>0</v>
      </c>
      <c r="AI152" s="90" t="s">
        <v>1442</v>
      </c>
      <c r="AJ152" s="90"/>
      <c r="AK152" s="97" t="s">
        <v>1338</v>
      </c>
      <c r="AL152" s="90" t="b">
        <v>0</v>
      </c>
      <c r="AM152" s="90">
        <v>14</v>
      </c>
      <c r="AN152" s="97" t="s">
        <v>1178</v>
      </c>
      <c r="AO152" s="97" t="s">
        <v>1450</v>
      </c>
      <c r="AP152" s="90" t="b">
        <v>0</v>
      </c>
      <c r="AQ152" s="97" t="s">
        <v>1178</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5</v>
      </c>
      <c r="BE152" s="89" t="str">
        <f>REPLACE(INDEX(GroupVertices[Group],MATCH(Edges[[#This Row],[Vertex 2]],GroupVertices[Vertex],0)),1,1,"")</f>
        <v>5</v>
      </c>
      <c r="BF152" s="49">
        <v>0</v>
      </c>
      <c r="BG152" s="50">
        <v>0</v>
      </c>
      <c r="BH152" s="49">
        <v>0</v>
      </c>
      <c r="BI152" s="50">
        <v>0</v>
      </c>
      <c r="BJ152" s="49">
        <v>0</v>
      </c>
      <c r="BK152" s="50">
        <v>0</v>
      </c>
      <c r="BL152" s="49">
        <v>29</v>
      </c>
      <c r="BM152" s="50">
        <v>100</v>
      </c>
      <c r="BN152" s="49">
        <v>29</v>
      </c>
    </row>
    <row r="153" spans="1:66" ht="15">
      <c r="A153" s="65" t="s">
        <v>279</v>
      </c>
      <c r="B153" s="65" t="s">
        <v>349</v>
      </c>
      <c r="C153" s="66" t="s">
        <v>5817</v>
      </c>
      <c r="D153" s="67">
        <v>1</v>
      </c>
      <c r="E153" s="68" t="s">
        <v>132</v>
      </c>
      <c r="F153" s="69">
        <v>32</v>
      </c>
      <c r="G153" s="66" t="s">
        <v>51</v>
      </c>
      <c r="H153" s="70"/>
      <c r="I153" s="71"/>
      <c r="J153" s="71"/>
      <c r="K153" s="35" t="s">
        <v>65</v>
      </c>
      <c r="L153" s="79">
        <v>153</v>
      </c>
      <c r="M153" s="79"/>
      <c r="N153" s="73"/>
      <c r="O153" s="90" t="s">
        <v>522</v>
      </c>
      <c r="P153" s="93">
        <v>44530.82943287037</v>
      </c>
      <c r="Q153" s="90" t="s">
        <v>577</v>
      </c>
      <c r="R153" s="90"/>
      <c r="S153" s="90"/>
      <c r="T153" s="97" t="s">
        <v>226</v>
      </c>
      <c r="U153" s="90"/>
      <c r="V153" s="96" t="str">
        <f>HYPERLINK("https://pbs.twimg.com/profile_images/1460536580209266694/prOdfN_D_normal.jpg")</f>
        <v>https://pbs.twimg.com/profile_images/1460536580209266694/prOdfN_D_normal.jpg</v>
      </c>
      <c r="W153" s="93">
        <v>44530.82943287037</v>
      </c>
      <c r="X153" s="100">
        <v>44530</v>
      </c>
      <c r="Y153" s="97" t="s">
        <v>789</v>
      </c>
      <c r="Z153" s="96" t="str">
        <f>HYPERLINK("https://twitter.com/merilainenriina/status/1465771210105626624")</f>
        <v>https://twitter.com/merilainenriina/status/1465771210105626624</v>
      </c>
      <c r="AA153" s="90"/>
      <c r="AB153" s="90"/>
      <c r="AC153" s="97" t="s">
        <v>1041</v>
      </c>
      <c r="AD153" s="90"/>
      <c r="AE153" s="90" t="b">
        <v>0</v>
      </c>
      <c r="AF153" s="90">
        <v>0</v>
      </c>
      <c r="AG153" s="97" t="s">
        <v>1338</v>
      </c>
      <c r="AH153" s="90" t="b">
        <v>0</v>
      </c>
      <c r="AI153" s="90" t="s">
        <v>1442</v>
      </c>
      <c r="AJ153" s="90"/>
      <c r="AK153" s="97" t="s">
        <v>1338</v>
      </c>
      <c r="AL153" s="90" t="b">
        <v>0</v>
      </c>
      <c r="AM153" s="90">
        <v>14</v>
      </c>
      <c r="AN153" s="97" t="s">
        <v>1178</v>
      </c>
      <c r="AO153" s="97" t="s">
        <v>1450</v>
      </c>
      <c r="AP153" s="90" t="b">
        <v>0</v>
      </c>
      <c r="AQ153" s="97" t="s">
        <v>1178</v>
      </c>
      <c r="AR153" s="90" t="s">
        <v>187</v>
      </c>
      <c r="AS153" s="90">
        <v>0</v>
      </c>
      <c r="AT153" s="90">
        <v>0</v>
      </c>
      <c r="AU153" s="90"/>
      <c r="AV153" s="90"/>
      <c r="AW153" s="90"/>
      <c r="AX153" s="90"/>
      <c r="AY153" s="90"/>
      <c r="AZ153" s="90"/>
      <c r="BA153" s="90"/>
      <c r="BB153" s="90"/>
      <c r="BC153">
        <v>1</v>
      </c>
      <c r="BD153" s="89" t="str">
        <f>REPLACE(INDEX(GroupVertices[Group],MATCH(Edges[[#This Row],[Vertex 1]],GroupVertices[Vertex],0)),1,1,"")</f>
        <v>5</v>
      </c>
      <c r="BE153" s="89" t="str">
        <f>REPLACE(INDEX(GroupVertices[Group],MATCH(Edges[[#This Row],[Vertex 2]],GroupVertices[Vertex],0)),1,1,"")</f>
        <v>5</v>
      </c>
      <c r="BF153" s="49"/>
      <c r="BG153" s="50"/>
      <c r="BH153" s="49"/>
      <c r="BI153" s="50"/>
      <c r="BJ153" s="49"/>
      <c r="BK153" s="50"/>
      <c r="BL153" s="49"/>
      <c r="BM153" s="50"/>
      <c r="BN153" s="49"/>
    </row>
    <row r="154" spans="1:66" ht="15">
      <c r="A154" s="65" t="s">
        <v>279</v>
      </c>
      <c r="B154" s="65" t="s">
        <v>432</v>
      </c>
      <c r="C154" s="66" t="s">
        <v>5817</v>
      </c>
      <c r="D154" s="67">
        <v>1</v>
      </c>
      <c r="E154" s="68" t="s">
        <v>132</v>
      </c>
      <c r="F154" s="69">
        <v>32</v>
      </c>
      <c r="G154" s="66" t="s">
        <v>51</v>
      </c>
      <c r="H154" s="70"/>
      <c r="I154" s="71"/>
      <c r="J154" s="71"/>
      <c r="K154" s="35" t="s">
        <v>65</v>
      </c>
      <c r="L154" s="79">
        <v>154</v>
      </c>
      <c r="M154" s="79"/>
      <c r="N154" s="73"/>
      <c r="O154" s="90" t="s">
        <v>523</v>
      </c>
      <c r="P154" s="93">
        <v>44530.82943287037</v>
      </c>
      <c r="Q154" s="90" t="s">
        <v>577</v>
      </c>
      <c r="R154" s="90"/>
      <c r="S154" s="90"/>
      <c r="T154" s="97" t="s">
        <v>226</v>
      </c>
      <c r="U154" s="90"/>
      <c r="V154" s="96" t="str">
        <f>HYPERLINK("https://pbs.twimg.com/profile_images/1460536580209266694/prOdfN_D_normal.jpg")</f>
        <v>https://pbs.twimg.com/profile_images/1460536580209266694/prOdfN_D_normal.jpg</v>
      </c>
      <c r="W154" s="93">
        <v>44530.82943287037</v>
      </c>
      <c r="X154" s="100">
        <v>44530</v>
      </c>
      <c r="Y154" s="97" t="s">
        <v>789</v>
      </c>
      <c r="Z154" s="96" t="str">
        <f>HYPERLINK("https://twitter.com/merilainenriina/status/1465771210105626624")</f>
        <v>https://twitter.com/merilainenriina/status/1465771210105626624</v>
      </c>
      <c r="AA154" s="90"/>
      <c r="AB154" s="90"/>
      <c r="AC154" s="97" t="s">
        <v>1041</v>
      </c>
      <c r="AD154" s="90"/>
      <c r="AE154" s="90" t="b">
        <v>0</v>
      </c>
      <c r="AF154" s="90">
        <v>0</v>
      </c>
      <c r="AG154" s="97" t="s">
        <v>1338</v>
      </c>
      <c r="AH154" s="90" t="b">
        <v>0</v>
      </c>
      <c r="AI154" s="90" t="s">
        <v>1442</v>
      </c>
      <c r="AJ154" s="90"/>
      <c r="AK154" s="97" t="s">
        <v>1338</v>
      </c>
      <c r="AL154" s="90" t="b">
        <v>0</v>
      </c>
      <c r="AM154" s="90">
        <v>14</v>
      </c>
      <c r="AN154" s="97" t="s">
        <v>1178</v>
      </c>
      <c r="AO154" s="97" t="s">
        <v>1450</v>
      </c>
      <c r="AP154" s="90" t="b">
        <v>0</v>
      </c>
      <c r="AQ154" s="97" t="s">
        <v>1178</v>
      </c>
      <c r="AR154" s="90" t="s">
        <v>187</v>
      </c>
      <c r="AS154" s="90">
        <v>0</v>
      </c>
      <c r="AT154" s="90">
        <v>0</v>
      </c>
      <c r="AU154" s="90"/>
      <c r="AV154" s="90"/>
      <c r="AW154" s="90"/>
      <c r="AX154" s="90"/>
      <c r="AY154" s="90"/>
      <c r="AZ154" s="90"/>
      <c r="BA154" s="90"/>
      <c r="BB154" s="90"/>
      <c r="BC154">
        <v>1</v>
      </c>
      <c r="BD154" s="89" t="str">
        <f>REPLACE(INDEX(GroupVertices[Group],MATCH(Edges[[#This Row],[Vertex 1]],GroupVertices[Vertex],0)),1,1,"")</f>
        <v>5</v>
      </c>
      <c r="BE154" s="89" t="str">
        <f>REPLACE(INDEX(GroupVertices[Group],MATCH(Edges[[#This Row],[Vertex 2]],GroupVertices[Vertex],0)),1,1,"")</f>
        <v>5</v>
      </c>
      <c r="BF154" s="49">
        <v>0</v>
      </c>
      <c r="BG154" s="50">
        <v>0</v>
      </c>
      <c r="BH154" s="49">
        <v>0</v>
      </c>
      <c r="BI154" s="50">
        <v>0</v>
      </c>
      <c r="BJ154" s="49">
        <v>0</v>
      </c>
      <c r="BK154" s="50">
        <v>0</v>
      </c>
      <c r="BL154" s="49">
        <v>29</v>
      </c>
      <c r="BM154" s="50">
        <v>100</v>
      </c>
      <c r="BN154" s="49">
        <v>29</v>
      </c>
    </row>
    <row r="155" spans="1:66" ht="15">
      <c r="A155" s="65" t="s">
        <v>280</v>
      </c>
      <c r="B155" s="65" t="s">
        <v>349</v>
      </c>
      <c r="C155" s="66" t="s">
        <v>5817</v>
      </c>
      <c r="D155" s="67">
        <v>1</v>
      </c>
      <c r="E155" s="68" t="s">
        <v>132</v>
      </c>
      <c r="F155" s="69">
        <v>32</v>
      </c>
      <c r="G155" s="66" t="s">
        <v>51</v>
      </c>
      <c r="H155" s="70"/>
      <c r="I155" s="71"/>
      <c r="J155" s="71"/>
      <c r="K155" s="35" t="s">
        <v>65</v>
      </c>
      <c r="L155" s="79">
        <v>155</v>
      </c>
      <c r="M155" s="79"/>
      <c r="N155" s="73"/>
      <c r="O155" s="90" t="s">
        <v>522</v>
      </c>
      <c r="P155" s="93">
        <v>44530.84206018518</v>
      </c>
      <c r="Q155" s="90" t="s">
        <v>577</v>
      </c>
      <c r="R155" s="90"/>
      <c r="S155" s="90"/>
      <c r="T155" s="97" t="s">
        <v>226</v>
      </c>
      <c r="U155" s="90"/>
      <c r="V155" s="96" t="str">
        <f>HYPERLINK("https://pbs.twimg.com/profile_images/1237813266212102145/EJtqDetJ_normal.jpg")</f>
        <v>https://pbs.twimg.com/profile_images/1237813266212102145/EJtqDetJ_normal.jpg</v>
      </c>
      <c r="W155" s="93">
        <v>44530.84206018518</v>
      </c>
      <c r="X155" s="100">
        <v>44530</v>
      </c>
      <c r="Y155" s="97" t="s">
        <v>790</v>
      </c>
      <c r="Z155" s="96" t="str">
        <f>HYPERLINK("https://twitter.com/_flashman_harry/status/1465775784992378882")</f>
        <v>https://twitter.com/_flashman_harry/status/1465775784992378882</v>
      </c>
      <c r="AA155" s="90"/>
      <c r="AB155" s="90"/>
      <c r="AC155" s="97" t="s">
        <v>1042</v>
      </c>
      <c r="AD155" s="90"/>
      <c r="AE155" s="90" t="b">
        <v>0</v>
      </c>
      <c r="AF155" s="90">
        <v>0</v>
      </c>
      <c r="AG155" s="97" t="s">
        <v>1338</v>
      </c>
      <c r="AH155" s="90" t="b">
        <v>0</v>
      </c>
      <c r="AI155" s="90" t="s">
        <v>1442</v>
      </c>
      <c r="AJ155" s="90"/>
      <c r="AK155" s="97" t="s">
        <v>1338</v>
      </c>
      <c r="AL155" s="90" t="b">
        <v>0</v>
      </c>
      <c r="AM155" s="90">
        <v>14</v>
      </c>
      <c r="AN155" s="97" t="s">
        <v>1178</v>
      </c>
      <c r="AO155" s="97" t="s">
        <v>1450</v>
      </c>
      <c r="AP155" s="90" t="b">
        <v>0</v>
      </c>
      <c r="AQ155" s="97" t="s">
        <v>1178</v>
      </c>
      <c r="AR155" s="90" t="s">
        <v>187</v>
      </c>
      <c r="AS155" s="90">
        <v>0</v>
      </c>
      <c r="AT155" s="90">
        <v>0</v>
      </c>
      <c r="AU155" s="90"/>
      <c r="AV155" s="90"/>
      <c r="AW155" s="90"/>
      <c r="AX155" s="90"/>
      <c r="AY155" s="90"/>
      <c r="AZ155" s="90"/>
      <c r="BA155" s="90"/>
      <c r="BB155" s="90"/>
      <c r="BC155">
        <v>1</v>
      </c>
      <c r="BD155" s="89" t="str">
        <f>REPLACE(INDEX(GroupVertices[Group],MATCH(Edges[[#This Row],[Vertex 1]],GroupVertices[Vertex],0)),1,1,"")</f>
        <v>5</v>
      </c>
      <c r="BE155" s="89" t="str">
        <f>REPLACE(INDEX(GroupVertices[Group],MATCH(Edges[[#This Row],[Vertex 2]],GroupVertices[Vertex],0)),1,1,"")</f>
        <v>5</v>
      </c>
      <c r="BF155" s="49"/>
      <c r="BG155" s="50"/>
      <c r="BH155" s="49"/>
      <c r="BI155" s="50"/>
      <c r="BJ155" s="49"/>
      <c r="BK155" s="50"/>
      <c r="BL155" s="49"/>
      <c r="BM155" s="50"/>
      <c r="BN155" s="49"/>
    </row>
    <row r="156" spans="1:66" ht="15">
      <c r="A156" s="65" t="s">
        <v>280</v>
      </c>
      <c r="B156" s="65" t="s">
        <v>432</v>
      </c>
      <c r="C156" s="66" t="s">
        <v>5817</v>
      </c>
      <c r="D156" s="67">
        <v>1</v>
      </c>
      <c r="E156" s="68" t="s">
        <v>132</v>
      </c>
      <c r="F156" s="69">
        <v>32</v>
      </c>
      <c r="G156" s="66" t="s">
        <v>51</v>
      </c>
      <c r="H156" s="70"/>
      <c r="I156" s="71"/>
      <c r="J156" s="71"/>
      <c r="K156" s="35" t="s">
        <v>65</v>
      </c>
      <c r="L156" s="79">
        <v>156</v>
      </c>
      <c r="M156" s="79"/>
      <c r="N156" s="73"/>
      <c r="O156" s="90" t="s">
        <v>523</v>
      </c>
      <c r="P156" s="93">
        <v>44530.84206018518</v>
      </c>
      <c r="Q156" s="90" t="s">
        <v>577</v>
      </c>
      <c r="R156" s="90"/>
      <c r="S156" s="90"/>
      <c r="T156" s="97" t="s">
        <v>226</v>
      </c>
      <c r="U156" s="90"/>
      <c r="V156" s="96" t="str">
        <f>HYPERLINK("https://pbs.twimg.com/profile_images/1237813266212102145/EJtqDetJ_normal.jpg")</f>
        <v>https://pbs.twimg.com/profile_images/1237813266212102145/EJtqDetJ_normal.jpg</v>
      </c>
      <c r="W156" s="93">
        <v>44530.84206018518</v>
      </c>
      <c r="X156" s="100">
        <v>44530</v>
      </c>
      <c r="Y156" s="97" t="s">
        <v>790</v>
      </c>
      <c r="Z156" s="96" t="str">
        <f>HYPERLINK("https://twitter.com/_flashman_harry/status/1465775784992378882")</f>
        <v>https://twitter.com/_flashman_harry/status/1465775784992378882</v>
      </c>
      <c r="AA156" s="90"/>
      <c r="AB156" s="90"/>
      <c r="AC156" s="97" t="s">
        <v>1042</v>
      </c>
      <c r="AD156" s="90"/>
      <c r="AE156" s="90" t="b">
        <v>0</v>
      </c>
      <c r="AF156" s="90">
        <v>0</v>
      </c>
      <c r="AG156" s="97" t="s">
        <v>1338</v>
      </c>
      <c r="AH156" s="90" t="b">
        <v>0</v>
      </c>
      <c r="AI156" s="90" t="s">
        <v>1442</v>
      </c>
      <c r="AJ156" s="90"/>
      <c r="AK156" s="97" t="s">
        <v>1338</v>
      </c>
      <c r="AL156" s="90" t="b">
        <v>0</v>
      </c>
      <c r="AM156" s="90">
        <v>14</v>
      </c>
      <c r="AN156" s="97" t="s">
        <v>1178</v>
      </c>
      <c r="AO156" s="97" t="s">
        <v>1450</v>
      </c>
      <c r="AP156" s="90" t="b">
        <v>0</v>
      </c>
      <c r="AQ156" s="97" t="s">
        <v>1178</v>
      </c>
      <c r="AR156" s="90" t="s">
        <v>187</v>
      </c>
      <c r="AS156" s="90">
        <v>0</v>
      </c>
      <c r="AT156" s="90">
        <v>0</v>
      </c>
      <c r="AU156" s="90"/>
      <c r="AV156" s="90"/>
      <c r="AW156" s="90"/>
      <c r="AX156" s="90"/>
      <c r="AY156" s="90"/>
      <c r="AZ156" s="90"/>
      <c r="BA156" s="90"/>
      <c r="BB156" s="90"/>
      <c r="BC156">
        <v>1</v>
      </c>
      <c r="BD156" s="89" t="str">
        <f>REPLACE(INDEX(GroupVertices[Group],MATCH(Edges[[#This Row],[Vertex 1]],GroupVertices[Vertex],0)),1,1,"")</f>
        <v>5</v>
      </c>
      <c r="BE156" s="89" t="str">
        <f>REPLACE(INDEX(GroupVertices[Group],MATCH(Edges[[#This Row],[Vertex 2]],GroupVertices[Vertex],0)),1,1,"")</f>
        <v>5</v>
      </c>
      <c r="BF156" s="49">
        <v>0</v>
      </c>
      <c r="BG156" s="50">
        <v>0</v>
      </c>
      <c r="BH156" s="49">
        <v>0</v>
      </c>
      <c r="BI156" s="50">
        <v>0</v>
      </c>
      <c r="BJ156" s="49">
        <v>0</v>
      </c>
      <c r="BK156" s="50">
        <v>0</v>
      </c>
      <c r="BL156" s="49">
        <v>29</v>
      </c>
      <c r="BM156" s="50">
        <v>100</v>
      </c>
      <c r="BN156" s="49">
        <v>29</v>
      </c>
    </row>
    <row r="157" spans="1:66" ht="15">
      <c r="A157" s="65" t="s">
        <v>281</v>
      </c>
      <c r="B157" s="65" t="s">
        <v>435</v>
      </c>
      <c r="C157" s="66" t="s">
        <v>5817</v>
      </c>
      <c r="D157" s="67">
        <v>1</v>
      </c>
      <c r="E157" s="68" t="s">
        <v>132</v>
      </c>
      <c r="F157" s="69">
        <v>32</v>
      </c>
      <c r="G157" s="66" t="s">
        <v>51</v>
      </c>
      <c r="H157" s="70"/>
      <c r="I157" s="71"/>
      <c r="J157" s="71"/>
      <c r="K157" s="35" t="s">
        <v>65</v>
      </c>
      <c r="L157" s="79">
        <v>157</v>
      </c>
      <c r="M157" s="79"/>
      <c r="N157" s="73"/>
      <c r="O157" s="90" t="s">
        <v>523</v>
      </c>
      <c r="P157" s="93">
        <v>44526.28601851852</v>
      </c>
      <c r="Q157" s="90" t="s">
        <v>581</v>
      </c>
      <c r="R157" s="90"/>
      <c r="S157" s="90"/>
      <c r="T157" s="90"/>
      <c r="U157" s="90"/>
      <c r="V157" s="96" t="str">
        <f>HYPERLINK("https://pbs.twimg.com/profile_images/1076890640905134080/vdh2syxK_normal.jpg")</f>
        <v>https://pbs.twimg.com/profile_images/1076890640905134080/vdh2syxK_normal.jpg</v>
      </c>
      <c r="W157" s="93">
        <v>44526.28601851852</v>
      </c>
      <c r="X157" s="100">
        <v>44526</v>
      </c>
      <c r="Y157" s="97" t="s">
        <v>791</v>
      </c>
      <c r="Z157" s="96" t="str">
        <f>HYPERLINK("https://twitter.com/benelef999/status/1464124730210934791")</f>
        <v>https://twitter.com/benelef999/status/1464124730210934791</v>
      </c>
      <c r="AA157" s="90"/>
      <c r="AB157" s="90"/>
      <c r="AC157" s="97" t="s">
        <v>1043</v>
      </c>
      <c r="AD157" s="97" t="s">
        <v>1258</v>
      </c>
      <c r="AE157" s="90" t="b">
        <v>0</v>
      </c>
      <c r="AF157" s="90">
        <v>0</v>
      </c>
      <c r="AG157" s="97" t="s">
        <v>1375</v>
      </c>
      <c r="AH157" s="90" t="b">
        <v>0</v>
      </c>
      <c r="AI157" s="90" t="s">
        <v>1442</v>
      </c>
      <c r="AJ157" s="90"/>
      <c r="AK157" s="97" t="s">
        <v>1338</v>
      </c>
      <c r="AL157" s="90" t="b">
        <v>0</v>
      </c>
      <c r="AM157" s="90">
        <v>0</v>
      </c>
      <c r="AN157" s="97" t="s">
        <v>1338</v>
      </c>
      <c r="AO157" s="97" t="s">
        <v>1451</v>
      </c>
      <c r="AP157" s="90" t="b">
        <v>0</v>
      </c>
      <c r="AQ157" s="97" t="s">
        <v>1258</v>
      </c>
      <c r="AR157" s="90" t="s">
        <v>187</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26</v>
      </c>
      <c r="BM157" s="50">
        <v>100</v>
      </c>
      <c r="BN157" s="49">
        <v>26</v>
      </c>
    </row>
    <row r="158" spans="1:66" ht="15">
      <c r="A158" s="65" t="s">
        <v>282</v>
      </c>
      <c r="B158" s="65" t="s">
        <v>436</v>
      </c>
      <c r="C158" s="66" t="s">
        <v>5817</v>
      </c>
      <c r="D158" s="67">
        <v>1</v>
      </c>
      <c r="E158" s="68" t="s">
        <v>132</v>
      </c>
      <c r="F158" s="69">
        <v>32</v>
      </c>
      <c r="G158" s="66" t="s">
        <v>51</v>
      </c>
      <c r="H158" s="70"/>
      <c r="I158" s="71"/>
      <c r="J158" s="71"/>
      <c r="K158" s="35" t="s">
        <v>65</v>
      </c>
      <c r="L158" s="79">
        <v>158</v>
      </c>
      <c r="M158" s="79"/>
      <c r="N158" s="73"/>
      <c r="O158" s="90" t="s">
        <v>523</v>
      </c>
      <c r="P158" s="93">
        <v>44529.04210648148</v>
      </c>
      <c r="Q158" s="90" t="s">
        <v>582</v>
      </c>
      <c r="R158" s="90"/>
      <c r="S158" s="90"/>
      <c r="T158" s="90"/>
      <c r="U158" s="90"/>
      <c r="V158" s="96" t="str">
        <f>HYPERLINK("https://pbs.twimg.com/profile_images/1215832052890775552/cSrlZYsv_normal.jpg")</f>
        <v>https://pbs.twimg.com/profile_images/1215832052890775552/cSrlZYsv_normal.jpg</v>
      </c>
      <c r="W158" s="93">
        <v>44529.04210648148</v>
      </c>
      <c r="X158" s="100">
        <v>44529</v>
      </c>
      <c r="Y158" s="97" t="s">
        <v>792</v>
      </c>
      <c r="Z158" s="96" t="str">
        <f>HYPERLINK("https://twitter.com/reviewpierre/status/1465123502344839175")</f>
        <v>https://twitter.com/reviewpierre/status/1465123502344839175</v>
      </c>
      <c r="AA158" s="90"/>
      <c r="AB158" s="90"/>
      <c r="AC158" s="97" t="s">
        <v>1044</v>
      </c>
      <c r="AD158" s="97" t="s">
        <v>1259</v>
      </c>
      <c r="AE158" s="90" t="b">
        <v>0</v>
      </c>
      <c r="AF158" s="90">
        <v>25</v>
      </c>
      <c r="AG158" s="97" t="s">
        <v>1376</v>
      </c>
      <c r="AH158" s="90" t="b">
        <v>0</v>
      </c>
      <c r="AI158" s="90" t="s">
        <v>1442</v>
      </c>
      <c r="AJ158" s="90"/>
      <c r="AK158" s="97" t="s">
        <v>1338</v>
      </c>
      <c r="AL158" s="90" t="b">
        <v>0</v>
      </c>
      <c r="AM158" s="90">
        <v>0</v>
      </c>
      <c r="AN158" s="97" t="s">
        <v>1338</v>
      </c>
      <c r="AO158" s="97" t="s">
        <v>1450</v>
      </c>
      <c r="AP158" s="90" t="b">
        <v>0</v>
      </c>
      <c r="AQ158" s="97" t="s">
        <v>1259</v>
      </c>
      <c r="AR158" s="90" t="s">
        <v>187</v>
      </c>
      <c r="AS158" s="90">
        <v>0</v>
      </c>
      <c r="AT158" s="90">
        <v>0</v>
      </c>
      <c r="AU158" s="90"/>
      <c r="AV158" s="90"/>
      <c r="AW158" s="90"/>
      <c r="AX158" s="90"/>
      <c r="AY158" s="90"/>
      <c r="AZ158" s="90"/>
      <c r="BA158" s="90"/>
      <c r="BB158" s="90"/>
      <c r="BC158">
        <v>1</v>
      </c>
      <c r="BD158" s="89" t="str">
        <f>REPLACE(INDEX(GroupVertices[Group],MATCH(Edges[[#This Row],[Vertex 1]],GroupVertices[Vertex],0)),1,1,"")</f>
        <v>5</v>
      </c>
      <c r="BE158" s="89" t="str">
        <f>REPLACE(INDEX(GroupVertices[Group],MATCH(Edges[[#This Row],[Vertex 2]],GroupVertices[Vertex],0)),1,1,"")</f>
        <v>5</v>
      </c>
      <c r="BF158" s="49">
        <v>0</v>
      </c>
      <c r="BG158" s="50">
        <v>0</v>
      </c>
      <c r="BH158" s="49">
        <v>0</v>
      </c>
      <c r="BI158" s="50">
        <v>0</v>
      </c>
      <c r="BJ158" s="49">
        <v>0</v>
      </c>
      <c r="BK158" s="50">
        <v>0</v>
      </c>
      <c r="BL158" s="49">
        <v>34</v>
      </c>
      <c r="BM158" s="50">
        <v>100</v>
      </c>
      <c r="BN158" s="49">
        <v>34</v>
      </c>
    </row>
    <row r="159" spans="1:66" ht="15">
      <c r="A159" s="65" t="s">
        <v>282</v>
      </c>
      <c r="B159" s="65" t="s">
        <v>349</v>
      </c>
      <c r="C159" s="66" t="s">
        <v>5817</v>
      </c>
      <c r="D159" s="67">
        <v>1</v>
      </c>
      <c r="E159" s="68" t="s">
        <v>132</v>
      </c>
      <c r="F159" s="69">
        <v>32</v>
      </c>
      <c r="G159" s="66" t="s">
        <v>51</v>
      </c>
      <c r="H159" s="70"/>
      <c r="I159" s="71"/>
      <c r="J159" s="71"/>
      <c r="K159" s="35" t="s">
        <v>65</v>
      </c>
      <c r="L159" s="79">
        <v>159</v>
      </c>
      <c r="M159" s="79"/>
      <c r="N159" s="73"/>
      <c r="O159" s="90" t="s">
        <v>522</v>
      </c>
      <c r="P159" s="93">
        <v>44530.868622685186</v>
      </c>
      <c r="Q159" s="90" t="s">
        <v>577</v>
      </c>
      <c r="R159" s="90"/>
      <c r="S159" s="90"/>
      <c r="T159" s="97" t="s">
        <v>226</v>
      </c>
      <c r="U159" s="90"/>
      <c r="V159" s="96" t="str">
        <f>HYPERLINK("https://pbs.twimg.com/profile_images/1215832052890775552/cSrlZYsv_normal.jpg")</f>
        <v>https://pbs.twimg.com/profile_images/1215832052890775552/cSrlZYsv_normal.jpg</v>
      </c>
      <c r="W159" s="93">
        <v>44530.868622685186</v>
      </c>
      <c r="X159" s="100">
        <v>44530</v>
      </c>
      <c r="Y159" s="97" t="s">
        <v>793</v>
      </c>
      <c r="Z159" s="96" t="str">
        <f>HYPERLINK("https://twitter.com/reviewpierre/status/1465785411717013509")</f>
        <v>https://twitter.com/reviewpierre/status/1465785411717013509</v>
      </c>
      <c r="AA159" s="90"/>
      <c r="AB159" s="90"/>
      <c r="AC159" s="97" t="s">
        <v>1045</v>
      </c>
      <c r="AD159" s="90"/>
      <c r="AE159" s="90" t="b">
        <v>0</v>
      </c>
      <c r="AF159" s="90">
        <v>0</v>
      </c>
      <c r="AG159" s="97" t="s">
        <v>1338</v>
      </c>
      <c r="AH159" s="90" t="b">
        <v>0</v>
      </c>
      <c r="AI159" s="90" t="s">
        <v>1442</v>
      </c>
      <c r="AJ159" s="90"/>
      <c r="AK159" s="97" t="s">
        <v>1338</v>
      </c>
      <c r="AL159" s="90" t="b">
        <v>0</v>
      </c>
      <c r="AM159" s="90">
        <v>14</v>
      </c>
      <c r="AN159" s="97" t="s">
        <v>1178</v>
      </c>
      <c r="AO159" s="97" t="s">
        <v>1450</v>
      </c>
      <c r="AP159" s="90" t="b">
        <v>0</v>
      </c>
      <c r="AQ159" s="97" t="s">
        <v>1178</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5</v>
      </c>
      <c r="BE159" s="89" t="str">
        <f>REPLACE(INDEX(GroupVertices[Group],MATCH(Edges[[#This Row],[Vertex 2]],GroupVertices[Vertex],0)),1,1,"")</f>
        <v>5</v>
      </c>
      <c r="BF159" s="49"/>
      <c r="BG159" s="50"/>
      <c r="BH159" s="49"/>
      <c r="BI159" s="50"/>
      <c r="BJ159" s="49"/>
      <c r="BK159" s="50"/>
      <c r="BL159" s="49"/>
      <c r="BM159" s="50"/>
      <c r="BN159" s="49"/>
    </row>
    <row r="160" spans="1:66" ht="15">
      <c r="A160" s="65" t="s">
        <v>282</v>
      </c>
      <c r="B160" s="65" t="s">
        <v>432</v>
      </c>
      <c r="C160" s="66" t="s">
        <v>5817</v>
      </c>
      <c r="D160" s="67">
        <v>1</v>
      </c>
      <c r="E160" s="68" t="s">
        <v>132</v>
      </c>
      <c r="F160" s="69">
        <v>32</v>
      </c>
      <c r="G160" s="66" t="s">
        <v>51</v>
      </c>
      <c r="H160" s="70"/>
      <c r="I160" s="71"/>
      <c r="J160" s="71"/>
      <c r="K160" s="35" t="s">
        <v>65</v>
      </c>
      <c r="L160" s="79">
        <v>160</v>
      </c>
      <c r="M160" s="79"/>
      <c r="N160" s="73"/>
      <c r="O160" s="90" t="s">
        <v>523</v>
      </c>
      <c r="P160" s="93">
        <v>44530.868622685186</v>
      </c>
      <c r="Q160" s="90" t="s">
        <v>577</v>
      </c>
      <c r="R160" s="90"/>
      <c r="S160" s="90"/>
      <c r="T160" s="97" t="s">
        <v>226</v>
      </c>
      <c r="U160" s="90"/>
      <c r="V160" s="96" t="str">
        <f>HYPERLINK("https://pbs.twimg.com/profile_images/1215832052890775552/cSrlZYsv_normal.jpg")</f>
        <v>https://pbs.twimg.com/profile_images/1215832052890775552/cSrlZYsv_normal.jpg</v>
      </c>
      <c r="W160" s="93">
        <v>44530.868622685186</v>
      </c>
      <c r="X160" s="100">
        <v>44530</v>
      </c>
      <c r="Y160" s="97" t="s">
        <v>793</v>
      </c>
      <c r="Z160" s="96" t="str">
        <f>HYPERLINK("https://twitter.com/reviewpierre/status/1465785411717013509")</f>
        <v>https://twitter.com/reviewpierre/status/1465785411717013509</v>
      </c>
      <c r="AA160" s="90"/>
      <c r="AB160" s="90"/>
      <c r="AC160" s="97" t="s">
        <v>1045</v>
      </c>
      <c r="AD160" s="90"/>
      <c r="AE160" s="90" t="b">
        <v>0</v>
      </c>
      <c r="AF160" s="90">
        <v>0</v>
      </c>
      <c r="AG160" s="97" t="s">
        <v>1338</v>
      </c>
      <c r="AH160" s="90" t="b">
        <v>0</v>
      </c>
      <c r="AI160" s="90" t="s">
        <v>1442</v>
      </c>
      <c r="AJ160" s="90"/>
      <c r="AK160" s="97" t="s">
        <v>1338</v>
      </c>
      <c r="AL160" s="90" t="b">
        <v>0</v>
      </c>
      <c r="AM160" s="90">
        <v>14</v>
      </c>
      <c r="AN160" s="97" t="s">
        <v>1178</v>
      </c>
      <c r="AO160" s="97" t="s">
        <v>1450</v>
      </c>
      <c r="AP160" s="90" t="b">
        <v>0</v>
      </c>
      <c r="AQ160" s="97" t="s">
        <v>1178</v>
      </c>
      <c r="AR160" s="90" t="s">
        <v>187</v>
      </c>
      <c r="AS160" s="90">
        <v>0</v>
      </c>
      <c r="AT160" s="90">
        <v>0</v>
      </c>
      <c r="AU160" s="90"/>
      <c r="AV160" s="90"/>
      <c r="AW160" s="90"/>
      <c r="AX160" s="90"/>
      <c r="AY160" s="90"/>
      <c r="AZ160" s="90"/>
      <c r="BA160" s="90"/>
      <c r="BB160" s="90"/>
      <c r="BC160">
        <v>1</v>
      </c>
      <c r="BD160" s="89" t="str">
        <f>REPLACE(INDEX(GroupVertices[Group],MATCH(Edges[[#This Row],[Vertex 1]],GroupVertices[Vertex],0)),1,1,"")</f>
        <v>5</v>
      </c>
      <c r="BE160" s="89" t="str">
        <f>REPLACE(INDEX(GroupVertices[Group],MATCH(Edges[[#This Row],[Vertex 2]],GroupVertices[Vertex],0)),1,1,"")</f>
        <v>5</v>
      </c>
      <c r="BF160" s="49">
        <v>0</v>
      </c>
      <c r="BG160" s="50">
        <v>0</v>
      </c>
      <c r="BH160" s="49">
        <v>0</v>
      </c>
      <c r="BI160" s="50">
        <v>0</v>
      </c>
      <c r="BJ160" s="49">
        <v>0</v>
      </c>
      <c r="BK160" s="50">
        <v>0</v>
      </c>
      <c r="BL160" s="49">
        <v>29</v>
      </c>
      <c r="BM160" s="50">
        <v>100</v>
      </c>
      <c r="BN160" s="49">
        <v>29</v>
      </c>
    </row>
    <row r="161" spans="1:66" ht="15">
      <c r="A161" s="65" t="s">
        <v>283</v>
      </c>
      <c r="B161" s="65" t="s">
        <v>356</v>
      </c>
      <c r="C161" s="66" t="s">
        <v>5817</v>
      </c>
      <c r="D161" s="67">
        <v>1</v>
      </c>
      <c r="E161" s="68" t="s">
        <v>132</v>
      </c>
      <c r="F161" s="69">
        <v>32</v>
      </c>
      <c r="G161" s="66" t="s">
        <v>51</v>
      </c>
      <c r="H161" s="70"/>
      <c r="I161" s="71"/>
      <c r="J161" s="71"/>
      <c r="K161" s="35" t="s">
        <v>65</v>
      </c>
      <c r="L161" s="79">
        <v>161</v>
      </c>
      <c r="M161" s="79"/>
      <c r="N161" s="73"/>
      <c r="O161" s="90" t="s">
        <v>522</v>
      </c>
      <c r="P161" s="93">
        <v>44530.88980324074</v>
      </c>
      <c r="Q161" s="90" t="s">
        <v>583</v>
      </c>
      <c r="R161" s="96" t="str">
        <f>HYPERLINK("https://twitter.com/KorpinenLaura/status/1465773688918364174")</f>
        <v>https://twitter.com/KorpinenLaura/status/1465773688918364174</v>
      </c>
      <c r="S161" s="90" t="s">
        <v>693</v>
      </c>
      <c r="T161" s="97" t="s">
        <v>712</v>
      </c>
      <c r="U161" s="90"/>
      <c r="V161" s="96" t="str">
        <f>HYPERLINK("https://pbs.twimg.com/profile_images/1463928114489311234/slYI9XHC_normal.jpg")</f>
        <v>https://pbs.twimg.com/profile_images/1463928114489311234/slYI9XHC_normal.jpg</v>
      </c>
      <c r="W161" s="93">
        <v>44530.88980324074</v>
      </c>
      <c r="X161" s="100">
        <v>44530</v>
      </c>
      <c r="Y161" s="97" t="s">
        <v>794</v>
      </c>
      <c r="Z161" s="96" t="str">
        <f>HYPERLINK("https://twitter.com/anitta65875243/status/1465793086051737612")</f>
        <v>https://twitter.com/anitta65875243/status/1465793086051737612</v>
      </c>
      <c r="AA161" s="90"/>
      <c r="AB161" s="90"/>
      <c r="AC161" s="97" t="s">
        <v>1046</v>
      </c>
      <c r="AD161" s="90"/>
      <c r="AE161" s="90" t="b">
        <v>0</v>
      </c>
      <c r="AF161" s="90">
        <v>0</v>
      </c>
      <c r="AG161" s="97" t="s">
        <v>1338</v>
      </c>
      <c r="AH161" s="90" t="b">
        <v>1</v>
      </c>
      <c r="AI161" s="90" t="s">
        <v>1442</v>
      </c>
      <c r="AJ161" s="90"/>
      <c r="AK161" s="97" t="s">
        <v>1301</v>
      </c>
      <c r="AL161" s="90" t="b">
        <v>0</v>
      </c>
      <c r="AM161" s="90">
        <v>10</v>
      </c>
      <c r="AN161" s="97" t="s">
        <v>1171</v>
      </c>
      <c r="AO161" s="97" t="s">
        <v>1452</v>
      </c>
      <c r="AP161" s="90" t="b">
        <v>0</v>
      </c>
      <c r="AQ161" s="97" t="s">
        <v>1171</v>
      </c>
      <c r="AR161" s="90" t="s">
        <v>187</v>
      </c>
      <c r="AS161" s="90">
        <v>0</v>
      </c>
      <c r="AT161" s="90">
        <v>0</v>
      </c>
      <c r="AU161" s="90"/>
      <c r="AV161" s="90"/>
      <c r="AW161" s="90"/>
      <c r="AX161" s="90"/>
      <c r="AY161" s="90"/>
      <c r="AZ161" s="90"/>
      <c r="BA161" s="90"/>
      <c r="BB161" s="90"/>
      <c r="BC161">
        <v>1</v>
      </c>
      <c r="BD161" s="89" t="str">
        <f>REPLACE(INDEX(GroupVertices[Group],MATCH(Edges[[#This Row],[Vertex 1]],GroupVertices[Vertex],0)),1,1,"")</f>
        <v>1</v>
      </c>
      <c r="BE161" s="89" t="str">
        <f>REPLACE(INDEX(GroupVertices[Group],MATCH(Edges[[#This Row],[Vertex 2]],GroupVertices[Vertex],0)),1,1,"")</f>
        <v>1</v>
      </c>
      <c r="BF161" s="49">
        <v>0</v>
      </c>
      <c r="BG161" s="50">
        <v>0</v>
      </c>
      <c r="BH161" s="49">
        <v>0</v>
      </c>
      <c r="BI161" s="50">
        <v>0</v>
      </c>
      <c r="BJ161" s="49">
        <v>0</v>
      </c>
      <c r="BK161" s="50">
        <v>0</v>
      </c>
      <c r="BL161" s="49">
        <v>16</v>
      </c>
      <c r="BM161" s="50">
        <v>100</v>
      </c>
      <c r="BN161" s="49">
        <v>16</v>
      </c>
    </row>
    <row r="162" spans="1:66" ht="15">
      <c r="A162" s="65" t="s">
        <v>284</v>
      </c>
      <c r="B162" s="65" t="s">
        <v>430</v>
      </c>
      <c r="C162" s="66" t="s">
        <v>5817</v>
      </c>
      <c r="D162" s="67">
        <v>1</v>
      </c>
      <c r="E162" s="68" t="s">
        <v>132</v>
      </c>
      <c r="F162" s="69">
        <v>32</v>
      </c>
      <c r="G162" s="66" t="s">
        <v>51</v>
      </c>
      <c r="H162" s="70"/>
      <c r="I162" s="71"/>
      <c r="J162" s="71"/>
      <c r="K162" s="35" t="s">
        <v>65</v>
      </c>
      <c r="L162" s="79">
        <v>162</v>
      </c>
      <c r="M162" s="79"/>
      <c r="N162" s="73"/>
      <c r="O162" s="90" t="s">
        <v>525</v>
      </c>
      <c r="P162" s="93">
        <v>44530.93405092593</v>
      </c>
      <c r="Q162" s="90" t="s">
        <v>576</v>
      </c>
      <c r="R162" s="90"/>
      <c r="S162" s="90"/>
      <c r="T162" s="97" t="s">
        <v>712</v>
      </c>
      <c r="U162" s="96" t="str">
        <f>HYPERLINK("https://pbs.twimg.com/media/FFc5qVTVQAkWXE2.jpg")</f>
        <v>https://pbs.twimg.com/media/FFc5qVTVQAkWXE2.jpg</v>
      </c>
      <c r="V162" s="96" t="str">
        <f>HYPERLINK("https://pbs.twimg.com/media/FFc5qVTVQAkWXE2.jpg")</f>
        <v>https://pbs.twimg.com/media/FFc5qVTVQAkWXE2.jpg</v>
      </c>
      <c r="W162" s="93">
        <v>44530.93405092593</v>
      </c>
      <c r="X162" s="100">
        <v>44530</v>
      </c>
      <c r="Y162" s="97" t="s">
        <v>795</v>
      </c>
      <c r="Z162" s="96" t="str">
        <f>HYPERLINK("https://twitter.com/mpbacardinen/status/1465809122654306304")</f>
        <v>https://twitter.com/mpbacardinen/status/1465809122654306304</v>
      </c>
      <c r="AA162" s="90"/>
      <c r="AB162" s="90"/>
      <c r="AC162" s="97" t="s">
        <v>1047</v>
      </c>
      <c r="AD162" s="90"/>
      <c r="AE162" s="90" t="b">
        <v>0</v>
      </c>
      <c r="AF162" s="90">
        <v>0</v>
      </c>
      <c r="AG162" s="97" t="s">
        <v>1338</v>
      </c>
      <c r="AH162" s="90" t="b">
        <v>0</v>
      </c>
      <c r="AI162" s="90" t="s">
        <v>1442</v>
      </c>
      <c r="AJ162" s="90"/>
      <c r="AK162" s="97" t="s">
        <v>1338</v>
      </c>
      <c r="AL162" s="90" t="b">
        <v>0</v>
      </c>
      <c r="AM162" s="90">
        <v>18</v>
      </c>
      <c r="AN162" s="97" t="s">
        <v>1196</v>
      </c>
      <c r="AO162" s="97" t="s">
        <v>1450</v>
      </c>
      <c r="AP162" s="90" t="b">
        <v>0</v>
      </c>
      <c r="AQ162" s="97" t="s">
        <v>1196</v>
      </c>
      <c r="AR162" s="90" t="s">
        <v>187</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284</v>
      </c>
      <c r="B163" s="65" t="s">
        <v>431</v>
      </c>
      <c r="C163" s="66" t="s">
        <v>5817</v>
      </c>
      <c r="D163" s="67">
        <v>1</v>
      </c>
      <c r="E163" s="68" t="s">
        <v>132</v>
      </c>
      <c r="F163" s="69">
        <v>32</v>
      </c>
      <c r="G163" s="66" t="s">
        <v>51</v>
      </c>
      <c r="H163" s="70"/>
      <c r="I163" s="71"/>
      <c r="J163" s="71"/>
      <c r="K163" s="35" t="s">
        <v>65</v>
      </c>
      <c r="L163" s="79">
        <v>163</v>
      </c>
      <c r="M163" s="79"/>
      <c r="N163" s="73"/>
      <c r="O163" s="90" t="s">
        <v>525</v>
      </c>
      <c r="P163" s="93">
        <v>44530.93405092593</v>
      </c>
      <c r="Q163" s="90" t="s">
        <v>576</v>
      </c>
      <c r="R163" s="90"/>
      <c r="S163" s="90"/>
      <c r="T163" s="97" t="s">
        <v>712</v>
      </c>
      <c r="U163" s="96" t="str">
        <f>HYPERLINK("https://pbs.twimg.com/media/FFc5qVTVQAkWXE2.jpg")</f>
        <v>https://pbs.twimg.com/media/FFc5qVTVQAkWXE2.jpg</v>
      </c>
      <c r="V163" s="96" t="str">
        <f>HYPERLINK("https://pbs.twimg.com/media/FFc5qVTVQAkWXE2.jpg")</f>
        <v>https://pbs.twimg.com/media/FFc5qVTVQAkWXE2.jpg</v>
      </c>
      <c r="W163" s="93">
        <v>44530.93405092593</v>
      </c>
      <c r="X163" s="100">
        <v>44530</v>
      </c>
      <c r="Y163" s="97" t="s">
        <v>795</v>
      </c>
      <c r="Z163" s="96" t="str">
        <f>HYPERLINK("https://twitter.com/mpbacardinen/status/1465809122654306304")</f>
        <v>https://twitter.com/mpbacardinen/status/1465809122654306304</v>
      </c>
      <c r="AA163" s="90"/>
      <c r="AB163" s="90"/>
      <c r="AC163" s="97" t="s">
        <v>1047</v>
      </c>
      <c r="AD163" s="90"/>
      <c r="AE163" s="90" t="b">
        <v>0</v>
      </c>
      <c r="AF163" s="90">
        <v>0</v>
      </c>
      <c r="AG163" s="97" t="s">
        <v>1338</v>
      </c>
      <c r="AH163" s="90" t="b">
        <v>0</v>
      </c>
      <c r="AI163" s="90" t="s">
        <v>1442</v>
      </c>
      <c r="AJ163" s="90"/>
      <c r="AK163" s="97" t="s">
        <v>1338</v>
      </c>
      <c r="AL163" s="90" t="b">
        <v>0</v>
      </c>
      <c r="AM163" s="90">
        <v>18</v>
      </c>
      <c r="AN163" s="97" t="s">
        <v>1196</v>
      </c>
      <c r="AO163" s="97" t="s">
        <v>1450</v>
      </c>
      <c r="AP163" s="90" t="b">
        <v>0</v>
      </c>
      <c r="AQ163" s="97" t="s">
        <v>1196</v>
      </c>
      <c r="AR163" s="90" t="s">
        <v>187</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c r="BG163" s="50"/>
      <c r="BH163" s="49"/>
      <c r="BI163" s="50"/>
      <c r="BJ163" s="49"/>
      <c r="BK163" s="50"/>
      <c r="BL163" s="49"/>
      <c r="BM163" s="50"/>
      <c r="BN163" s="49"/>
    </row>
    <row r="164" spans="1:66" ht="15">
      <c r="A164" s="65" t="s">
        <v>284</v>
      </c>
      <c r="B164" s="65" t="s">
        <v>368</v>
      </c>
      <c r="C164" s="66" t="s">
        <v>5817</v>
      </c>
      <c r="D164" s="67">
        <v>1</v>
      </c>
      <c r="E164" s="68" t="s">
        <v>132</v>
      </c>
      <c r="F164" s="69">
        <v>32</v>
      </c>
      <c r="G164" s="66" t="s">
        <v>51</v>
      </c>
      <c r="H164" s="70"/>
      <c r="I164" s="71"/>
      <c r="J164" s="71"/>
      <c r="K164" s="35" t="s">
        <v>65</v>
      </c>
      <c r="L164" s="79">
        <v>164</v>
      </c>
      <c r="M164" s="79"/>
      <c r="N164" s="73"/>
      <c r="O164" s="90" t="s">
        <v>522</v>
      </c>
      <c r="P164" s="93">
        <v>44530.93405092593</v>
      </c>
      <c r="Q164" s="90" t="s">
        <v>576</v>
      </c>
      <c r="R164" s="90"/>
      <c r="S164" s="90"/>
      <c r="T164" s="97" t="s">
        <v>712</v>
      </c>
      <c r="U164" s="96" t="str">
        <f>HYPERLINK("https://pbs.twimg.com/media/FFc5qVTVQAkWXE2.jpg")</f>
        <v>https://pbs.twimg.com/media/FFc5qVTVQAkWXE2.jpg</v>
      </c>
      <c r="V164" s="96" t="str">
        <f>HYPERLINK("https://pbs.twimg.com/media/FFc5qVTVQAkWXE2.jpg")</f>
        <v>https://pbs.twimg.com/media/FFc5qVTVQAkWXE2.jpg</v>
      </c>
      <c r="W164" s="93">
        <v>44530.93405092593</v>
      </c>
      <c r="X164" s="100">
        <v>44530</v>
      </c>
      <c r="Y164" s="97" t="s">
        <v>795</v>
      </c>
      <c r="Z164" s="96" t="str">
        <f>HYPERLINK("https://twitter.com/mpbacardinen/status/1465809122654306304")</f>
        <v>https://twitter.com/mpbacardinen/status/1465809122654306304</v>
      </c>
      <c r="AA164" s="90"/>
      <c r="AB164" s="90"/>
      <c r="AC164" s="97" t="s">
        <v>1047</v>
      </c>
      <c r="AD164" s="90"/>
      <c r="AE164" s="90" t="b">
        <v>0</v>
      </c>
      <c r="AF164" s="90">
        <v>0</v>
      </c>
      <c r="AG164" s="97" t="s">
        <v>1338</v>
      </c>
      <c r="AH164" s="90" t="b">
        <v>0</v>
      </c>
      <c r="AI164" s="90" t="s">
        <v>1442</v>
      </c>
      <c r="AJ164" s="90"/>
      <c r="AK164" s="97" t="s">
        <v>1338</v>
      </c>
      <c r="AL164" s="90" t="b">
        <v>0</v>
      </c>
      <c r="AM164" s="90">
        <v>18</v>
      </c>
      <c r="AN164" s="97" t="s">
        <v>1196</v>
      </c>
      <c r="AO164" s="97" t="s">
        <v>1450</v>
      </c>
      <c r="AP164" s="90" t="b">
        <v>0</v>
      </c>
      <c r="AQ164" s="97" t="s">
        <v>1196</v>
      </c>
      <c r="AR164" s="90" t="s">
        <v>187</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5" t="s">
        <v>285</v>
      </c>
      <c r="B165" s="65" t="s">
        <v>430</v>
      </c>
      <c r="C165" s="66" t="s">
        <v>5817</v>
      </c>
      <c r="D165" s="67">
        <v>1</v>
      </c>
      <c r="E165" s="68" t="s">
        <v>132</v>
      </c>
      <c r="F165" s="69">
        <v>32</v>
      </c>
      <c r="G165" s="66" t="s">
        <v>51</v>
      </c>
      <c r="H165" s="70"/>
      <c r="I165" s="71"/>
      <c r="J165" s="71"/>
      <c r="K165" s="35" t="s">
        <v>65</v>
      </c>
      <c r="L165" s="79">
        <v>165</v>
      </c>
      <c r="M165" s="79"/>
      <c r="N165" s="73"/>
      <c r="O165" s="90" t="s">
        <v>525</v>
      </c>
      <c r="P165" s="93">
        <v>44530.93420138889</v>
      </c>
      <c r="Q165" s="90" t="s">
        <v>576</v>
      </c>
      <c r="R165" s="90"/>
      <c r="S165" s="90"/>
      <c r="T165" s="97" t="s">
        <v>712</v>
      </c>
      <c r="U165" s="96" t="str">
        <f>HYPERLINK("https://pbs.twimg.com/media/FFc5qVTVQAkWXE2.jpg")</f>
        <v>https://pbs.twimg.com/media/FFc5qVTVQAkWXE2.jpg</v>
      </c>
      <c r="V165" s="96" t="str">
        <f>HYPERLINK("https://pbs.twimg.com/media/FFc5qVTVQAkWXE2.jpg")</f>
        <v>https://pbs.twimg.com/media/FFc5qVTVQAkWXE2.jpg</v>
      </c>
      <c r="W165" s="93">
        <v>44530.93420138889</v>
      </c>
      <c r="X165" s="100">
        <v>44530</v>
      </c>
      <c r="Y165" s="97" t="s">
        <v>796</v>
      </c>
      <c r="Z165" s="96" t="str">
        <f>HYPERLINK("https://twitter.com/mbacardinen/status/1465809176890851348")</f>
        <v>https://twitter.com/mbacardinen/status/1465809176890851348</v>
      </c>
      <c r="AA165" s="90"/>
      <c r="AB165" s="90"/>
      <c r="AC165" s="97" t="s">
        <v>1048</v>
      </c>
      <c r="AD165" s="90"/>
      <c r="AE165" s="90" t="b">
        <v>0</v>
      </c>
      <c r="AF165" s="90">
        <v>0</v>
      </c>
      <c r="AG165" s="97" t="s">
        <v>1338</v>
      </c>
      <c r="AH165" s="90" t="b">
        <v>0</v>
      </c>
      <c r="AI165" s="90" t="s">
        <v>1442</v>
      </c>
      <c r="AJ165" s="90"/>
      <c r="AK165" s="97" t="s">
        <v>1338</v>
      </c>
      <c r="AL165" s="90" t="b">
        <v>0</v>
      </c>
      <c r="AM165" s="90">
        <v>18</v>
      </c>
      <c r="AN165" s="97" t="s">
        <v>1196</v>
      </c>
      <c r="AO165" s="97" t="s">
        <v>1450</v>
      </c>
      <c r="AP165" s="90" t="b">
        <v>0</v>
      </c>
      <c r="AQ165" s="97" t="s">
        <v>1196</v>
      </c>
      <c r="AR165" s="90" t="s">
        <v>187</v>
      </c>
      <c r="AS165" s="90">
        <v>0</v>
      </c>
      <c r="AT165" s="90">
        <v>0</v>
      </c>
      <c r="AU165" s="90"/>
      <c r="AV165" s="90"/>
      <c r="AW165" s="90"/>
      <c r="AX165" s="90"/>
      <c r="AY165" s="90"/>
      <c r="AZ165" s="90"/>
      <c r="BA165" s="90"/>
      <c r="BB165" s="90"/>
      <c r="BC165">
        <v>1</v>
      </c>
      <c r="BD165" s="89" t="str">
        <f>REPLACE(INDEX(GroupVertices[Group],MATCH(Edges[[#This Row],[Vertex 1]],GroupVertices[Vertex],0)),1,1,"")</f>
        <v>3</v>
      </c>
      <c r="BE165" s="89" t="str">
        <f>REPLACE(INDEX(GroupVertices[Group],MATCH(Edges[[#This Row],[Vertex 2]],GroupVertices[Vertex],0)),1,1,"")</f>
        <v>3</v>
      </c>
      <c r="BF165" s="49"/>
      <c r="BG165" s="50"/>
      <c r="BH165" s="49"/>
      <c r="BI165" s="50"/>
      <c r="BJ165" s="49"/>
      <c r="BK165" s="50"/>
      <c r="BL165" s="49"/>
      <c r="BM165" s="50"/>
      <c r="BN165" s="49"/>
    </row>
    <row r="166" spans="1:66" ht="15">
      <c r="A166" s="65" t="s">
        <v>285</v>
      </c>
      <c r="B166" s="65" t="s">
        <v>431</v>
      </c>
      <c r="C166" s="66" t="s">
        <v>5817</v>
      </c>
      <c r="D166" s="67">
        <v>1</v>
      </c>
      <c r="E166" s="68" t="s">
        <v>132</v>
      </c>
      <c r="F166" s="69">
        <v>32</v>
      </c>
      <c r="G166" s="66" t="s">
        <v>51</v>
      </c>
      <c r="H166" s="70"/>
      <c r="I166" s="71"/>
      <c r="J166" s="71"/>
      <c r="K166" s="35" t="s">
        <v>65</v>
      </c>
      <c r="L166" s="79">
        <v>166</v>
      </c>
      <c r="M166" s="79"/>
      <c r="N166" s="73"/>
      <c r="O166" s="90" t="s">
        <v>525</v>
      </c>
      <c r="P166" s="93">
        <v>44530.93420138889</v>
      </c>
      <c r="Q166" s="90" t="s">
        <v>576</v>
      </c>
      <c r="R166" s="90"/>
      <c r="S166" s="90"/>
      <c r="T166" s="97" t="s">
        <v>712</v>
      </c>
      <c r="U166" s="96" t="str">
        <f>HYPERLINK("https://pbs.twimg.com/media/FFc5qVTVQAkWXE2.jpg")</f>
        <v>https://pbs.twimg.com/media/FFc5qVTVQAkWXE2.jpg</v>
      </c>
      <c r="V166" s="96" t="str">
        <f>HYPERLINK("https://pbs.twimg.com/media/FFc5qVTVQAkWXE2.jpg")</f>
        <v>https://pbs.twimg.com/media/FFc5qVTVQAkWXE2.jpg</v>
      </c>
      <c r="W166" s="93">
        <v>44530.93420138889</v>
      </c>
      <c r="X166" s="100">
        <v>44530</v>
      </c>
      <c r="Y166" s="97" t="s">
        <v>796</v>
      </c>
      <c r="Z166" s="96" t="str">
        <f>HYPERLINK("https://twitter.com/mbacardinen/status/1465809176890851348")</f>
        <v>https://twitter.com/mbacardinen/status/1465809176890851348</v>
      </c>
      <c r="AA166" s="90"/>
      <c r="AB166" s="90"/>
      <c r="AC166" s="97" t="s">
        <v>1048</v>
      </c>
      <c r="AD166" s="90"/>
      <c r="AE166" s="90" t="b">
        <v>0</v>
      </c>
      <c r="AF166" s="90">
        <v>0</v>
      </c>
      <c r="AG166" s="97" t="s">
        <v>1338</v>
      </c>
      <c r="AH166" s="90" t="b">
        <v>0</v>
      </c>
      <c r="AI166" s="90" t="s">
        <v>1442</v>
      </c>
      <c r="AJ166" s="90"/>
      <c r="AK166" s="97" t="s">
        <v>1338</v>
      </c>
      <c r="AL166" s="90" t="b">
        <v>0</v>
      </c>
      <c r="AM166" s="90">
        <v>18</v>
      </c>
      <c r="AN166" s="97" t="s">
        <v>1196</v>
      </c>
      <c r="AO166" s="97" t="s">
        <v>1450</v>
      </c>
      <c r="AP166" s="90" t="b">
        <v>0</v>
      </c>
      <c r="AQ166" s="97" t="s">
        <v>1196</v>
      </c>
      <c r="AR166" s="90" t="s">
        <v>187</v>
      </c>
      <c r="AS166" s="90">
        <v>0</v>
      </c>
      <c r="AT166" s="90">
        <v>0</v>
      </c>
      <c r="AU166" s="90"/>
      <c r="AV166" s="90"/>
      <c r="AW166" s="90"/>
      <c r="AX166" s="90"/>
      <c r="AY166" s="90"/>
      <c r="AZ166" s="90"/>
      <c r="BA166" s="90"/>
      <c r="BB166" s="90"/>
      <c r="BC166">
        <v>1</v>
      </c>
      <c r="BD166" s="89" t="str">
        <f>REPLACE(INDEX(GroupVertices[Group],MATCH(Edges[[#This Row],[Vertex 1]],GroupVertices[Vertex],0)),1,1,"")</f>
        <v>3</v>
      </c>
      <c r="BE166" s="89" t="str">
        <f>REPLACE(INDEX(GroupVertices[Group],MATCH(Edges[[#This Row],[Vertex 2]],GroupVertices[Vertex],0)),1,1,"")</f>
        <v>3</v>
      </c>
      <c r="BF166" s="49"/>
      <c r="BG166" s="50"/>
      <c r="BH166" s="49"/>
      <c r="BI166" s="50"/>
      <c r="BJ166" s="49"/>
      <c r="BK166" s="50"/>
      <c r="BL166" s="49"/>
      <c r="BM166" s="50"/>
      <c r="BN166" s="49"/>
    </row>
    <row r="167" spans="1:66" ht="15">
      <c r="A167" s="65" t="s">
        <v>285</v>
      </c>
      <c r="B167" s="65" t="s">
        <v>368</v>
      </c>
      <c r="C167" s="66" t="s">
        <v>5817</v>
      </c>
      <c r="D167" s="67">
        <v>1</v>
      </c>
      <c r="E167" s="68" t="s">
        <v>132</v>
      </c>
      <c r="F167" s="69">
        <v>32</v>
      </c>
      <c r="G167" s="66" t="s">
        <v>51</v>
      </c>
      <c r="H167" s="70"/>
      <c r="I167" s="71"/>
      <c r="J167" s="71"/>
      <c r="K167" s="35" t="s">
        <v>65</v>
      </c>
      <c r="L167" s="79">
        <v>167</v>
      </c>
      <c r="M167" s="79"/>
      <c r="N167" s="73"/>
      <c r="O167" s="90" t="s">
        <v>522</v>
      </c>
      <c r="P167" s="93">
        <v>44530.93420138889</v>
      </c>
      <c r="Q167" s="90" t="s">
        <v>576</v>
      </c>
      <c r="R167" s="90"/>
      <c r="S167" s="90"/>
      <c r="T167" s="97" t="s">
        <v>712</v>
      </c>
      <c r="U167" s="96" t="str">
        <f>HYPERLINK("https://pbs.twimg.com/media/FFc5qVTVQAkWXE2.jpg")</f>
        <v>https://pbs.twimg.com/media/FFc5qVTVQAkWXE2.jpg</v>
      </c>
      <c r="V167" s="96" t="str">
        <f>HYPERLINK("https://pbs.twimg.com/media/FFc5qVTVQAkWXE2.jpg")</f>
        <v>https://pbs.twimg.com/media/FFc5qVTVQAkWXE2.jpg</v>
      </c>
      <c r="W167" s="93">
        <v>44530.93420138889</v>
      </c>
      <c r="X167" s="100">
        <v>44530</v>
      </c>
      <c r="Y167" s="97" t="s">
        <v>796</v>
      </c>
      <c r="Z167" s="96" t="str">
        <f>HYPERLINK("https://twitter.com/mbacardinen/status/1465809176890851348")</f>
        <v>https://twitter.com/mbacardinen/status/1465809176890851348</v>
      </c>
      <c r="AA167" s="90"/>
      <c r="AB167" s="90"/>
      <c r="AC167" s="97" t="s">
        <v>1048</v>
      </c>
      <c r="AD167" s="90"/>
      <c r="AE167" s="90" t="b">
        <v>0</v>
      </c>
      <c r="AF167" s="90">
        <v>0</v>
      </c>
      <c r="AG167" s="97" t="s">
        <v>1338</v>
      </c>
      <c r="AH167" s="90" t="b">
        <v>0</v>
      </c>
      <c r="AI167" s="90" t="s">
        <v>1442</v>
      </c>
      <c r="AJ167" s="90"/>
      <c r="AK167" s="97" t="s">
        <v>1338</v>
      </c>
      <c r="AL167" s="90" t="b">
        <v>0</v>
      </c>
      <c r="AM167" s="90">
        <v>18</v>
      </c>
      <c r="AN167" s="97" t="s">
        <v>1196</v>
      </c>
      <c r="AO167" s="97" t="s">
        <v>1450</v>
      </c>
      <c r="AP167" s="90" t="b">
        <v>0</v>
      </c>
      <c r="AQ167" s="97" t="s">
        <v>1196</v>
      </c>
      <c r="AR167" s="90" t="s">
        <v>187</v>
      </c>
      <c r="AS167" s="90">
        <v>0</v>
      </c>
      <c r="AT167" s="90">
        <v>0</v>
      </c>
      <c r="AU167" s="90"/>
      <c r="AV167" s="90"/>
      <c r="AW167" s="90"/>
      <c r="AX167" s="90"/>
      <c r="AY167" s="90"/>
      <c r="AZ167" s="90"/>
      <c r="BA167" s="90"/>
      <c r="BB167" s="90"/>
      <c r="BC167">
        <v>1</v>
      </c>
      <c r="BD167" s="89" t="str">
        <f>REPLACE(INDEX(GroupVertices[Group],MATCH(Edges[[#This Row],[Vertex 1]],GroupVertices[Vertex],0)),1,1,"")</f>
        <v>3</v>
      </c>
      <c r="BE167" s="89" t="str">
        <f>REPLACE(INDEX(GroupVertices[Group],MATCH(Edges[[#This Row],[Vertex 2]],GroupVertices[Vertex],0)),1,1,"")</f>
        <v>3</v>
      </c>
      <c r="BF167" s="49">
        <v>0</v>
      </c>
      <c r="BG167" s="50">
        <v>0</v>
      </c>
      <c r="BH167" s="49">
        <v>0</v>
      </c>
      <c r="BI167" s="50">
        <v>0</v>
      </c>
      <c r="BJ167" s="49">
        <v>0</v>
      </c>
      <c r="BK167" s="50">
        <v>0</v>
      </c>
      <c r="BL167" s="49">
        <v>13</v>
      </c>
      <c r="BM167" s="50">
        <v>100</v>
      </c>
      <c r="BN167" s="49">
        <v>13</v>
      </c>
    </row>
    <row r="168" spans="1:66" ht="15">
      <c r="A168" s="65" t="s">
        <v>286</v>
      </c>
      <c r="B168" s="65" t="s">
        <v>430</v>
      </c>
      <c r="C168" s="66" t="s">
        <v>5817</v>
      </c>
      <c r="D168" s="67">
        <v>1</v>
      </c>
      <c r="E168" s="68" t="s">
        <v>132</v>
      </c>
      <c r="F168" s="69">
        <v>32</v>
      </c>
      <c r="G168" s="66" t="s">
        <v>51</v>
      </c>
      <c r="H168" s="70"/>
      <c r="I168" s="71"/>
      <c r="J168" s="71"/>
      <c r="K168" s="35" t="s">
        <v>65</v>
      </c>
      <c r="L168" s="79">
        <v>168</v>
      </c>
      <c r="M168" s="79"/>
      <c r="N168" s="73"/>
      <c r="O168" s="90" t="s">
        <v>525</v>
      </c>
      <c r="P168" s="93">
        <v>44530.948113425926</v>
      </c>
      <c r="Q168" s="90" t="s">
        <v>576</v>
      </c>
      <c r="R168" s="90"/>
      <c r="S168" s="90"/>
      <c r="T168" s="97" t="s">
        <v>712</v>
      </c>
      <c r="U168" s="96" t="str">
        <f>HYPERLINK("https://pbs.twimg.com/media/FFc5qVTVQAkWXE2.jpg")</f>
        <v>https://pbs.twimg.com/media/FFc5qVTVQAkWXE2.jpg</v>
      </c>
      <c r="V168" s="96" t="str">
        <f>HYPERLINK("https://pbs.twimg.com/media/FFc5qVTVQAkWXE2.jpg")</f>
        <v>https://pbs.twimg.com/media/FFc5qVTVQAkWXE2.jpg</v>
      </c>
      <c r="W168" s="93">
        <v>44530.948113425926</v>
      </c>
      <c r="X168" s="100">
        <v>44530</v>
      </c>
      <c r="Y168" s="97" t="s">
        <v>797</v>
      </c>
      <c r="Z168" s="96" t="str">
        <f>HYPERLINK("https://twitter.com/sannapiipponen/status/1465814216368173058")</f>
        <v>https://twitter.com/sannapiipponen/status/1465814216368173058</v>
      </c>
      <c r="AA168" s="90"/>
      <c r="AB168" s="90"/>
      <c r="AC168" s="97" t="s">
        <v>1049</v>
      </c>
      <c r="AD168" s="90"/>
      <c r="AE168" s="90" t="b">
        <v>0</v>
      </c>
      <c r="AF168" s="90">
        <v>0</v>
      </c>
      <c r="AG168" s="97" t="s">
        <v>1338</v>
      </c>
      <c r="AH168" s="90" t="b">
        <v>0</v>
      </c>
      <c r="AI168" s="90" t="s">
        <v>1442</v>
      </c>
      <c r="AJ168" s="90"/>
      <c r="AK168" s="97" t="s">
        <v>1338</v>
      </c>
      <c r="AL168" s="90" t="b">
        <v>0</v>
      </c>
      <c r="AM168" s="90">
        <v>18</v>
      </c>
      <c r="AN168" s="97" t="s">
        <v>1196</v>
      </c>
      <c r="AO168" s="97" t="s">
        <v>1450</v>
      </c>
      <c r="AP168" s="90" t="b">
        <v>0</v>
      </c>
      <c r="AQ168" s="97" t="s">
        <v>1196</v>
      </c>
      <c r="AR168" s="90" t="s">
        <v>187</v>
      </c>
      <c r="AS168" s="90">
        <v>0</v>
      </c>
      <c r="AT168" s="90">
        <v>0</v>
      </c>
      <c r="AU168" s="90"/>
      <c r="AV168" s="90"/>
      <c r="AW168" s="90"/>
      <c r="AX168" s="90"/>
      <c r="AY168" s="90"/>
      <c r="AZ168" s="90"/>
      <c r="BA168" s="90"/>
      <c r="BB168" s="90"/>
      <c r="BC168">
        <v>1</v>
      </c>
      <c r="BD168" s="89" t="str">
        <f>REPLACE(INDEX(GroupVertices[Group],MATCH(Edges[[#This Row],[Vertex 1]],GroupVertices[Vertex],0)),1,1,"")</f>
        <v>3</v>
      </c>
      <c r="BE168" s="89" t="str">
        <f>REPLACE(INDEX(GroupVertices[Group],MATCH(Edges[[#This Row],[Vertex 2]],GroupVertices[Vertex],0)),1,1,"")</f>
        <v>3</v>
      </c>
      <c r="BF168" s="49"/>
      <c r="BG168" s="50"/>
      <c r="BH168" s="49"/>
      <c r="BI168" s="50"/>
      <c r="BJ168" s="49"/>
      <c r="BK168" s="50"/>
      <c r="BL168" s="49"/>
      <c r="BM168" s="50"/>
      <c r="BN168" s="49"/>
    </row>
    <row r="169" spans="1:66" ht="15">
      <c r="A169" s="65" t="s">
        <v>286</v>
      </c>
      <c r="B169" s="65" t="s">
        <v>431</v>
      </c>
      <c r="C169" s="66" t="s">
        <v>5817</v>
      </c>
      <c r="D169" s="67">
        <v>1</v>
      </c>
      <c r="E169" s="68" t="s">
        <v>132</v>
      </c>
      <c r="F169" s="69">
        <v>32</v>
      </c>
      <c r="G169" s="66" t="s">
        <v>51</v>
      </c>
      <c r="H169" s="70"/>
      <c r="I169" s="71"/>
      <c r="J169" s="71"/>
      <c r="K169" s="35" t="s">
        <v>65</v>
      </c>
      <c r="L169" s="79">
        <v>169</v>
      </c>
      <c r="M169" s="79"/>
      <c r="N169" s="73"/>
      <c r="O169" s="90" t="s">
        <v>525</v>
      </c>
      <c r="P169" s="93">
        <v>44530.948113425926</v>
      </c>
      <c r="Q169" s="90" t="s">
        <v>576</v>
      </c>
      <c r="R169" s="90"/>
      <c r="S169" s="90"/>
      <c r="T169" s="97" t="s">
        <v>712</v>
      </c>
      <c r="U169" s="96" t="str">
        <f>HYPERLINK("https://pbs.twimg.com/media/FFc5qVTVQAkWXE2.jpg")</f>
        <v>https://pbs.twimg.com/media/FFc5qVTVQAkWXE2.jpg</v>
      </c>
      <c r="V169" s="96" t="str">
        <f>HYPERLINK("https://pbs.twimg.com/media/FFc5qVTVQAkWXE2.jpg")</f>
        <v>https://pbs.twimg.com/media/FFc5qVTVQAkWXE2.jpg</v>
      </c>
      <c r="W169" s="93">
        <v>44530.948113425926</v>
      </c>
      <c r="X169" s="100">
        <v>44530</v>
      </c>
      <c r="Y169" s="97" t="s">
        <v>797</v>
      </c>
      <c r="Z169" s="96" t="str">
        <f>HYPERLINK("https://twitter.com/sannapiipponen/status/1465814216368173058")</f>
        <v>https://twitter.com/sannapiipponen/status/1465814216368173058</v>
      </c>
      <c r="AA169" s="90"/>
      <c r="AB169" s="90"/>
      <c r="AC169" s="97" t="s">
        <v>1049</v>
      </c>
      <c r="AD169" s="90"/>
      <c r="AE169" s="90" t="b">
        <v>0</v>
      </c>
      <c r="AF169" s="90">
        <v>0</v>
      </c>
      <c r="AG169" s="97" t="s">
        <v>1338</v>
      </c>
      <c r="AH169" s="90" t="b">
        <v>0</v>
      </c>
      <c r="AI169" s="90" t="s">
        <v>1442</v>
      </c>
      <c r="AJ169" s="90"/>
      <c r="AK169" s="97" t="s">
        <v>1338</v>
      </c>
      <c r="AL169" s="90" t="b">
        <v>0</v>
      </c>
      <c r="AM169" s="90">
        <v>18</v>
      </c>
      <c r="AN169" s="97" t="s">
        <v>1196</v>
      </c>
      <c r="AO169" s="97" t="s">
        <v>1450</v>
      </c>
      <c r="AP169" s="90" t="b">
        <v>0</v>
      </c>
      <c r="AQ169" s="97" t="s">
        <v>1196</v>
      </c>
      <c r="AR169" s="90" t="s">
        <v>187</v>
      </c>
      <c r="AS169" s="90">
        <v>0</v>
      </c>
      <c r="AT169" s="90">
        <v>0</v>
      </c>
      <c r="AU169" s="90"/>
      <c r="AV169" s="90"/>
      <c r="AW169" s="90"/>
      <c r="AX169" s="90"/>
      <c r="AY169" s="90"/>
      <c r="AZ169" s="90"/>
      <c r="BA169" s="90"/>
      <c r="BB169" s="90"/>
      <c r="BC169">
        <v>1</v>
      </c>
      <c r="BD169" s="89" t="str">
        <f>REPLACE(INDEX(GroupVertices[Group],MATCH(Edges[[#This Row],[Vertex 1]],GroupVertices[Vertex],0)),1,1,"")</f>
        <v>3</v>
      </c>
      <c r="BE169" s="89" t="str">
        <f>REPLACE(INDEX(GroupVertices[Group],MATCH(Edges[[#This Row],[Vertex 2]],GroupVertices[Vertex],0)),1,1,"")</f>
        <v>3</v>
      </c>
      <c r="BF169" s="49"/>
      <c r="BG169" s="50"/>
      <c r="BH169" s="49"/>
      <c r="BI169" s="50"/>
      <c r="BJ169" s="49"/>
      <c r="BK169" s="50"/>
      <c r="BL169" s="49"/>
      <c r="BM169" s="50"/>
      <c r="BN169" s="49"/>
    </row>
    <row r="170" spans="1:66" ht="15">
      <c r="A170" s="65" t="s">
        <v>286</v>
      </c>
      <c r="B170" s="65" t="s">
        <v>368</v>
      </c>
      <c r="C170" s="66" t="s">
        <v>5817</v>
      </c>
      <c r="D170" s="67">
        <v>1</v>
      </c>
      <c r="E170" s="68" t="s">
        <v>132</v>
      </c>
      <c r="F170" s="69">
        <v>32</v>
      </c>
      <c r="G170" s="66" t="s">
        <v>51</v>
      </c>
      <c r="H170" s="70"/>
      <c r="I170" s="71"/>
      <c r="J170" s="71"/>
      <c r="K170" s="35" t="s">
        <v>65</v>
      </c>
      <c r="L170" s="79">
        <v>170</v>
      </c>
      <c r="M170" s="79"/>
      <c r="N170" s="73"/>
      <c r="O170" s="90" t="s">
        <v>522</v>
      </c>
      <c r="P170" s="93">
        <v>44530.948113425926</v>
      </c>
      <c r="Q170" s="90" t="s">
        <v>576</v>
      </c>
      <c r="R170" s="90"/>
      <c r="S170" s="90"/>
      <c r="T170" s="97" t="s">
        <v>712</v>
      </c>
      <c r="U170" s="96" t="str">
        <f>HYPERLINK("https://pbs.twimg.com/media/FFc5qVTVQAkWXE2.jpg")</f>
        <v>https://pbs.twimg.com/media/FFc5qVTVQAkWXE2.jpg</v>
      </c>
      <c r="V170" s="96" t="str">
        <f>HYPERLINK("https://pbs.twimg.com/media/FFc5qVTVQAkWXE2.jpg")</f>
        <v>https://pbs.twimg.com/media/FFc5qVTVQAkWXE2.jpg</v>
      </c>
      <c r="W170" s="93">
        <v>44530.948113425926</v>
      </c>
      <c r="X170" s="100">
        <v>44530</v>
      </c>
      <c r="Y170" s="97" t="s">
        <v>797</v>
      </c>
      <c r="Z170" s="96" t="str">
        <f>HYPERLINK("https://twitter.com/sannapiipponen/status/1465814216368173058")</f>
        <v>https://twitter.com/sannapiipponen/status/1465814216368173058</v>
      </c>
      <c r="AA170" s="90"/>
      <c r="AB170" s="90"/>
      <c r="AC170" s="97" t="s">
        <v>1049</v>
      </c>
      <c r="AD170" s="90"/>
      <c r="AE170" s="90" t="b">
        <v>0</v>
      </c>
      <c r="AF170" s="90">
        <v>0</v>
      </c>
      <c r="AG170" s="97" t="s">
        <v>1338</v>
      </c>
      <c r="AH170" s="90" t="b">
        <v>0</v>
      </c>
      <c r="AI170" s="90" t="s">
        <v>1442</v>
      </c>
      <c r="AJ170" s="90"/>
      <c r="AK170" s="97" t="s">
        <v>1338</v>
      </c>
      <c r="AL170" s="90" t="b">
        <v>0</v>
      </c>
      <c r="AM170" s="90">
        <v>18</v>
      </c>
      <c r="AN170" s="97" t="s">
        <v>1196</v>
      </c>
      <c r="AO170" s="97" t="s">
        <v>1450</v>
      </c>
      <c r="AP170" s="90" t="b">
        <v>0</v>
      </c>
      <c r="AQ170" s="97" t="s">
        <v>1196</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3</v>
      </c>
      <c r="BE170" s="89" t="str">
        <f>REPLACE(INDEX(GroupVertices[Group],MATCH(Edges[[#This Row],[Vertex 2]],GroupVertices[Vertex],0)),1,1,"")</f>
        <v>3</v>
      </c>
      <c r="BF170" s="49">
        <v>0</v>
      </c>
      <c r="BG170" s="50">
        <v>0</v>
      </c>
      <c r="BH170" s="49">
        <v>0</v>
      </c>
      <c r="BI170" s="50">
        <v>0</v>
      </c>
      <c r="BJ170" s="49">
        <v>0</v>
      </c>
      <c r="BK170" s="50">
        <v>0</v>
      </c>
      <c r="BL170" s="49">
        <v>13</v>
      </c>
      <c r="BM170" s="50">
        <v>100</v>
      </c>
      <c r="BN170" s="49">
        <v>13</v>
      </c>
    </row>
    <row r="171" spans="1:66" ht="15">
      <c r="A171" s="65" t="s">
        <v>287</v>
      </c>
      <c r="B171" s="65" t="s">
        <v>287</v>
      </c>
      <c r="C171" s="66" t="s">
        <v>5817</v>
      </c>
      <c r="D171" s="67">
        <v>1</v>
      </c>
      <c r="E171" s="68" t="s">
        <v>132</v>
      </c>
      <c r="F171" s="69">
        <v>32</v>
      </c>
      <c r="G171" s="66" t="s">
        <v>51</v>
      </c>
      <c r="H171" s="70"/>
      <c r="I171" s="71"/>
      <c r="J171" s="71"/>
      <c r="K171" s="35" t="s">
        <v>65</v>
      </c>
      <c r="L171" s="79">
        <v>171</v>
      </c>
      <c r="M171" s="79"/>
      <c r="N171" s="73"/>
      <c r="O171" s="90" t="s">
        <v>187</v>
      </c>
      <c r="P171" s="93">
        <v>44522.40354166667</v>
      </c>
      <c r="Q171" s="90" t="s">
        <v>528</v>
      </c>
      <c r="R171" s="90"/>
      <c r="S171" s="90"/>
      <c r="T171" s="90"/>
      <c r="U171" s="96" t="str">
        <f>HYPERLINK("https://pbs.twimg.com/media/FEyeCZTWYAML1pL.jpg")</f>
        <v>https://pbs.twimg.com/media/FEyeCZTWYAML1pL.jpg</v>
      </c>
      <c r="V171" s="96" t="str">
        <f>HYPERLINK("https://pbs.twimg.com/media/FEyeCZTWYAML1pL.jpg")</f>
        <v>https://pbs.twimg.com/media/FEyeCZTWYAML1pL.jpg</v>
      </c>
      <c r="W171" s="93">
        <v>44522.40354166667</v>
      </c>
      <c r="X171" s="100">
        <v>44522</v>
      </c>
      <c r="Y171" s="97" t="s">
        <v>798</v>
      </c>
      <c r="Z171" s="96" t="str">
        <f>HYPERLINK("https://twitter.com/anttiheikkil2/status/1462717767984062467")</f>
        <v>https://twitter.com/anttiheikkil2/status/1462717767984062467</v>
      </c>
      <c r="AA171" s="90"/>
      <c r="AB171" s="90"/>
      <c r="AC171" s="97" t="s">
        <v>1050</v>
      </c>
      <c r="AD171" s="90"/>
      <c r="AE171" s="90" t="b">
        <v>0</v>
      </c>
      <c r="AF171" s="90">
        <v>583</v>
      </c>
      <c r="AG171" s="97" t="s">
        <v>1338</v>
      </c>
      <c r="AH171" s="90" t="b">
        <v>0</v>
      </c>
      <c r="AI171" s="90" t="s">
        <v>1442</v>
      </c>
      <c r="AJ171" s="90"/>
      <c r="AK171" s="97" t="s">
        <v>1338</v>
      </c>
      <c r="AL171" s="90" t="b">
        <v>0</v>
      </c>
      <c r="AM171" s="90">
        <v>152</v>
      </c>
      <c r="AN171" s="97" t="s">
        <v>1338</v>
      </c>
      <c r="AO171" s="97" t="s">
        <v>1450</v>
      </c>
      <c r="AP171" s="90" t="b">
        <v>0</v>
      </c>
      <c r="AQ171" s="97" t="s">
        <v>1050</v>
      </c>
      <c r="AR171" s="90" t="s">
        <v>522</v>
      </c>
      <c r="AS171" s="90">
        <v>0</v>
      </c>
      <c r="AT171" s="90">
        <v>0</v>
      </c>
      <c r="AU171" s="90"/>
      <c r="AV171" s="90"/>
      <c r="AW171" s="90"/>
      <c r="AX171" s="90"/>
      <c r="AY171" s="90"/>
      <c r="AZ171" s="90"/>
      <c r="BA171" s="90"/>
      <c r="BB171" s="90"/>
      <c r="BC171">
        <v>1</v>
      </c>
      <c r="BD171" s="89" t="str">
        <f>REPLACE(INDEX(GroupVertices[Group],MATCH(Edges[[#This Row],[Vertex 1]],GroupVertices[Vertex],0)),1,1,"")</f>
        <v>4</v>
      </c>
      <c r="BE171" s="89" t="str">
        <f>REPLACE(INDEX(GroupVertices[Group],MATCH(Edges[[#This Row],[Vertex 2]],GroupVertices[Vertex],0)),1,1,"")</f>
        <v>4</v>
      </c>
      <c r="BF171" s="49">
        <v>0</v>
      </c>
      <c r="BG171" s="50">
        <v>0</v>
      </c>
      <c r="BH171" s="49">
        <v>0</v>
      </c>
      <c r="BI171" s="50">
        <v>0</v>
      </c>
      <c r="BJ171" s="49">
        <v>0</v>
      </c>
      <c r="BK171" s="50">
        <v>0</v>
      </c>
      <c r="BL171" s="49">
        <v>8</v>
      </c>
      <c r="BM171" s="50">
        <v>100</v>
      </c>
      <c r="BN171" s="49">
        <v>8</v>
      </c>
    </row>
    <row r="172" spans="1:66" ht="15">
      <c r="A172" s="65" t="s">
        <v>288</v>
      </c>
      <c r="B172" s="65" t="s">
        <v>287</v>
      </c>
      <c r="C172" s="66" t="s">
        <v>5817</v>
      </c>
      <c r="D172" s="67">
        <v>1</v>
      </c>
      <c r="E172" s="68" t="s">
        <v>132</v>
      </c>
      <c r="F172" s="69">
        <v>32</v>
      </c>
      <c r="G172" s="66" t="s">
        <v>51</v>
      </c>
      <c r="H172" s="70"/>
      <c r="I172" s="71"/>
      <c r="J172" s="71"/>
      <c r="K172" s="35" t="s">
        <v>65</v>
      </c>
      <c r="L172" s="79">
        <v>172</v>
      </c>
      <c r="M172" s="79"/>
      <c r="N172" s="73"/>
      <c r="O172" s="90" t="s">
        <v>524</v>
      </c>
      <c r="P172" s="93">
        <v>44530.666296296295</v>
      </c>
      <c r="Q172" s="90" t="s">
        <v>584</v>
      </c>
      <c r="R172" s="90"/>
      <c r="S172" s="90"/>
      <c r="T172" s="90"/>
      <c r="U172" s="90"/>
      <c r="V172" s="96" t="str">
        <f>HYPERLINK("https://abs.twimg.com/sticky/default_profile_images/default_profile_normal.png")</f>
        <v>https://abs.twimg.com/sticky/default_profile_images/default_profile_normal.png</v>
      </c>
      <c r="W172" s="93">
        <v>44530.666296296295</v>
      </c>
      <c r="X172" s="100">
        <v>44530</v>
      </c>
      <c r="Y172" s="97" t="s">
        <v>799</v>
      </c>
      <c r="Z172" s="96" t="str">
        <f>HYPERLINK("https://twitter.com/eramaas/status/1465712089524170755")</f>
        <v>https://twitter.com/eramaas/status/1465712089524170755</v>
      </c>
      <c r="AA172" s="90"/>
      <c r="AB172" s="90"/>
      <c r="AC172" s="97" t="s">
        <v>1051</v>
      </c>
      <c r="AD172" s="97" t="s">
        <v>1260</v>
      </c>
      <c r="AE172" s="90" t="b">
        <v>0</v>
      </c>
      <c r="AF172" s="90">
        <v>1</v>
      </c>
      <c r="AG172" s="97" t="s">
        <v>1377</v>
      </c>
      <c r="AH172" s="90" t="b">
        <v>0</v>
      </c>
      <c r="AI172" s="90" t="s">
        <v>1442</v>
      </c>
      <c r="AJ172" s="90"/>
      <c r="AK172" s="97" t="s">
        <v>1338</v>
      </c>
      <c r="AL172" s="90" t="b">
        <v>0</v>
      </c>
      <c r="AM172" s="90">
        <v>0</v>
      </c>
      <c r="AN172" s="97" t="s">
        <v>1338</v>
      </c>
      <c r="AO172" s="97" t="s">
        <v>1452</v>
      </c>
      <c r="AP172" s="90" t="b">
        <v>0</v>
      </c>
      <c r="AQ172" s="97" t="s">
        <v>1260</v>
      </c>
      <c r="AR172" s="90" t="s">
        <v>187</v>
      </c>
      <c r="AS172" s="90">
        <v>0</v>
      </c>
      <c r="AT172" s="90">
        <v>0</v>
      </c>
      <c r="AU172" s="90"/>
      <c r="AV172" s="90"/>
      <c r="AW172" s="90"/>
      <c r="AX172" s="90"/>
      <c r="AY172" s="90"/>
      <c r="AZ172" s="90"/>
      <c r="BA172" s="90"/>
      <c r="BB172" s="90"/>
      <c r="BC172">
        <v>1</v>
      </c>
      <c r="BD172" s="89" t="str">
        <f>REPLACE(INDEX(GroupVertices[Group],MATCH(Edges[[#This Row],[Vertex 1]],GroupVertices[Vertex],0)),1,1,"")</f>
        <v>4</v>
      </c>
      <c r="BE172" s="89" t="str">
        <f>REPLACE(INDEX(GroupVertices[Group],MATCH(Edges[[#This Row],[Vertex 2]],GroupVertices[Vertex],0)),1,1,"")</f>
        <v>4</v>
      </c>
      <c r="BF172" s="49"/>
      <c r="BG172" s="50"/>
      <c r="BH172" s="49"/>
      <c r="BI172" s="50"/>
      <c r="BJ172" s="49"/>
      <c r="BK172" s="50"/>
      <c r="BL172" s="49"/>
      <c r="BM172" s="50"/>
      <c r="BN172" s="49"/>
    </row>
    <row r="173" spans="1:66" ht="15">
      <c r="A173" s="65" t="s">
        <v>288</v>
      </c>
      <c r="B173" s="65" t="s">
        <v>437</v>
      </c>
      <c r="C173" s="66" t="s">
        <v>5817</v>
      </c>
      <c r="D173" s="67">
        <v>1</v>
      </c>
      <c r="E173" s="68" t="s">
        <v>132</v>
      </c>
      <c r="F173" s="69">
        <v>32</v>
      </c>
      <c r="G173" s="66" t="s">
        <v>51</v>
      </c>
      <c r="H173" s="70"/>
      <c r="I173" s="71"/>
      <c r="J173" s="71"/>
      <c r="K173" s="35" t="s">
        <v>65</v>
      </c>
      <c r="L173" s="79">
        <v>173</v>
      </c>
      <c r="M173" s="79"/>
      <c r="N173" s="73"/>
      <c r="O173" s="90" t="s">
        <v>523</v>
      </c>
      <c r="P173" s="93">
        <v>44530.666296296295</v>
      </c>
      <c r="Q173" s="90" t="s">
        <v>584</v>
      </c>
      <c r="R173" s="90"/>
      <c r="S173" s="90"/>
      <c r="T173" s="90"/>
      <c r="U173" s="90"/>
      <c r="V173" s="96" t="str">
        <f>HYPERLINK("https://abs.twimg.com/sticky/default_profile_images/default_profile_normal.png")</f>
        <v>https://abs.twimg.com/sticky/default_profile_images/default_profile_normal.png</v>
      </c>
      <c r="W173" s="93">
        <v>44530.666296296295</v>
      </c>
      <c r="X173" s="100">
        <v>44530</v>
      </c>
      <c r="Y173" s="97" t="s">
        <v>799</v>
      </c>
      <c r="Z173" s="96" t="str">
        <f>HYPERLINK("https://twitter.com/eramaas/status/1465712089524170755")</f>
        <v>https://twitter.com/eramaas/status/1465712089524170755</v>
      </c>
      <c r="AA173" s="90"/>
      <c r="AB173" s="90"/>
      <c r="AC173" s="97" t="s">
        <v>1051</v>
      </c>
      <c r="AD173" s="97" t="s">
        <v>1260</v>
      </c>
      <c r="AE173" s="90" t="b">
        <v>0</v>
      </c>
      <c r="AF173" s="90">
        <v>1</v>
      </c>
      <c r="AG173" s="97" t="s">
        <v>1377</v>
      </c>
      <c r="AH173" s="90" t="b">
        <v>0</v>
      </c>
      <c r="AI173" s="90" t="s">
        <v>1442</v>
      </c>
      <c r="AJ173" s="90"/>
      <c r="AK173" s="97" t="s">
        <v>1338</v>
      </c>
      <c r="AL173" s="90" t="b">
        <v>0</v>
      </c>
      <c r="AM173" s="90">
        <v>0</v>
      </c>
      <c r="AN173" s="97" t="s">
        <v>1338</v>
      </c>
      <c r="AO173" s="97" t="s">
        <v>1452</v>
      </c>
      <c r="AP173" s="90" t="b">
        <v>0</v>
      </c>
      <c r="AQ173" s="97" t="s">
        <v>1260</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4</v>
      </c>
      <c r="BE173" s="89" t="str">
        <f>REPLACE(INDEX(GroupVertices[Group],MATCH(Edges[[#This Row],[Vertex 2]],GroupVertices[Vertex],0)),1,1,"")</f>
        <v>4</v>
      </c>
      <c r="BF173" s="49">
        <v>0</v>
      </c>
      <c r="BG173" s="50">
        <v>0</v>
      </c>
      <c r="BH173" s="49">
        <v>0</v>
      </c>
      <c r="BI173" s="50">
        <v>0</v>
      </c>
      <c r="BJ173" s="49">
        <v>0</v>
      </c>
      <c r="BK173" s="50">
        <v>0</v>
      </c>
      <c r="BL173" s="49">
        <v>9</v>
      </c>
      <c r="BM173" s="50">
        <v>100</v>
      </c>
      <c r="BN173" s="49">
        <v>9</v>
      </c>
    </row>
    <row r="174" spans="1:66" ht="15">
      <c r="A174" s="65" t="s">
        <v>288</v>
      </c>
      <c r="B174" s="65" t="s">
        <v>438</v>
      </c>
      <c r="C174" s="66" t="s">
        <v>5817</v>
      </c>
      <c r="D174" s="67">
        <v>1</v>
      </c>
      <c r="E174" s="68" t="s">
        <v>132</v>
      </c>
      <c r="F174" s="69">
        <v>32</v>
      </c>
      <c r="G174" s="66" t="s">
        <v>51</v>
      </c>
      <c r="H174" s="70"/>
      <c r="I174" s="71"/>
      <c r="J174" s="71"/>
      <c r="K174" s="35" t="s">
        <v>65</v>
      </c>
      <c r="L174" s="79">
        <v>174</v>
      </c>
      <c r="M174" s="79"/>
      <c r="N174" s="73"/>
      <c r="O174" s="90" t="s">
        <v>524</v>
      </c>
      <c r="P174" s="93">
        <v>44531.03138888889</v>
      </c>
      <c r="Q174" s="90" t="s">
        <v>585</v>
      </c>
      <c r="R174" s="90"/>
      <c r="S174" s="90"/>
      <c r="T174" s="90"/>
      <c r="U174" s="90"/>
      <c r="V174" s="96" t="str">
        <f>HYPERLINK("https://abs.twimg.com/sticky/default_profile_images/default_profile_normal.png")</f>
        <v>https://abs.twimg.com/sticky/default_profile_images/default_profile_normal.png</v>
      </c>
      <c r="W174" s="93">
        <v>44531.03138888889</v>
      </c>
      <c r="X174" s="100">
        <v>44531</v>
      </c>
      <c r="Y174" s="97" t="s">
        <v>800</v>
      </c>
      <c r="Z174" s="96" t="str">
        <f>HYPERLINK("https://twitter.com/eramaas/status/1465844396386131971")</f>
        <v>https://twitter.com/eramaas/status/1465844396386131971</v>
      </c>
      <c r="AA174" s="90"/>
      <c r="AB174" s="90"/>
      <c r="AC174" s="97" t="s">
        <v>1052</v>
      </c>
      <c r="AD174" s="97" t="s">
        <v>1261</v>
      </c>
      <c r="AE174" s="90" t="b">
        <v>0</v>
      </c>
      <c r="AF174" s="90">
        <v>2</v>
      </c>
      <c r="AG174" s="97" t="s">
        <v>1378</v>
      </c>
      <c r="AH174" s="90" t="b">
        <v>0</v>
      </c>
      <c r="AI174" s="90" t="s">
        <v>1442</v>
      </c>
      <c r="AJ174" s="90"/>
      <c r="AK174" s="97" t="s">
        <v>1338</v>
      </c>
      <c r="AL174" s="90" t="b">
        <v>0</v>
      </c>
      <c r="AM174" s="90">
        <v>1</v>
      </c>
      <c r="AN174" s="97" t="s">
        <v>1338</v>
      </c>
      <c r="AO174" s="97" t="s">
        <v>1452</v>
      </c>
      <c r="AP174" s="90" t="b">
        <v>0</v>
      </c>
      <c r="AQ174" s="97" t="s">
        <v>1261</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4</v>
      </c>
      <c r="BE174" s="89" t="str">
        <f>REPLACE(INDEX(GroupVertices[Group],MATCH(Edges[[#This Row],[Vertex 2]],GroupVertices[Vertex],0)),1,1,"")</f>
        <v>4</v>
      </c>
      <c r="BF174" s="49"/>
      <c r="BG174" s="50"/>
      <c r="BH174" s="49"/>
      <c r="BI174" s="50"/>
      <c r="BJ174" s="49"/>
      <c r="BK174" s="50"/>
      <c r="BL174" s="49"/>
      <c r="BM174" s="50"/>
      <c r="BN174" s="49"/>
    </row>
    <row r="175" spans="1:66" ht="15">
      <c r="A175" s="65" t="s">
        <v>288</v>
      </c>
      <c r="B175" s="65" t="s">
        <v>438</v>
      </c>
      <c r="C175" s="66" t="s">
        <v>5817</v>
      </c>
      <c r="D175" s="67">
        <v>1</v>
      </c>
      <c r="E175" s="68" t="s">
        <v>132</v>
      </c>
      <c r="F175" s="69">
        <v>32</v>
      </c>
      <c r="G175" s="66" t="s">
        <v>51</v>
      </c>
      <c r="H175" s="70"/>
      <c r="I175" s="71"/>
      <c r="J175" s="71"/>
      <c r="K175" s="35" t="s">
        <v>65</v>
      </c>
      <c r="L175" s="79">
        <v>175</v>
      </c>
      <c r="M175" s="79"/>
      <c r="N175" s="73"/>
      <c r="O175" s="90" t="s">
        <v>525</v>
      </c>
      <c r="P175" s="93">
        <v>44531.0315625</v>
      </c>
      <c r="Q175" s="90" t="s">
        <v>585</v>
      </c>
      <c r="R175" s="90"/>
      <c r="S175" s="90"/>
      <c r="T175" s="90"/>
      <c r="U175" s="90"/>
      <c r="V175" s="96" t="str">
        <f>HYPERLINK("https://abs.twimg.com/sticky/default_profile_images/default_profile_normal.png")</f>
        <v>https://abs.twimg.com/sticky/default_profile_images/default_profile_normal.png</v>
      </c>
      <c r="W175" s="93">
        <v>44531.0315625</v>
      </c>
      <c r="X175" s="100">
        <v>44531</v>
      </c>
      <c r="Y175" s="97" t="s">
        <v>801</v>
      </c>
      <c r="Z175" s="96" t="str">
        <f>HYPERLINK("https://twitter.com/eramaas/status/1465844458491195397")</f>
        <v>https://twitter.com/eramaas/status/1465844458491195397</v>
      </c>
      <c r="AA175" s="90"/>
      <c r="AB175" s="90"/>
      <c r="AC175" s="97" t="s">
        <v>1053</v>
      </c>
      <c r="AD175" s="90"/>
      <c r="AE175" s="90" t="b">
        <v>0</v>
      </c>
      <c r="AF175" s="90">
        <v>0</v>
      </c>
      <c r="AG175" s="97" t="s">
        <v>1338</v>
      </c>
      <c r="AH175" s="90" t="b">
        <v>0</v>
      </c>
      <c r="AI175" s="90" t="s">
        <v>1442</v>
      </c>
      <c r="AJ175" s="90"/>
      <c r="AK175" s="97" t="s">
        <v>1338</v>
      </c>
      <c r="AL175" s="90" t="b">
        <v>0</v>
      </c>
      <c r="AM175" s="90">
        <v>1</v>
      </c>
      <c r="AN175" s="97" t="s">
        <v>1052</v>
      </c>
      <c r="AO175" s="97" t="s">
        <v>1452</v>
      </c>
      <c r="AP175" s="90" t="b">
        <v>0</v>
      </c>
      <c r="AQ175" s="97" t="s">
        <v>1052</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4</v>
      </c>
      <c r="BE175" s="89" t="str">
        <f>REPLACE(INDEX(GroupVertices[Group],MATCH(Edges[[#This Row],[Vertex 2]],GroupVertices[Vertex],0)),1,1,"")</f>
        <v>4</v>
      </c>
      <c r="BF175" s="49"/>
      <c r="BG175" s="50"/>
      <c r="BH175" s="49"/>
      <c r="BI175" s="50"/>
      <c r="BJ175" s="49"/>
      <c r="BK175" s="50"/>
      <c r="BL175" s="49"/>
      <c r="BM175" s="50"/>
      <c r="BN175" s="49"/>
    </row>
    <row r="176" spans="1:66" ht="15">
      <c r="A176" s="65" t="s">
        <v>288</v>
      </c>
      <c r="B176" s="65" t="s">
        <v>439</v>
      </c>
      <c r="C176" s="66" t="s">
        <v>5817</v>
      </c>
      <c r="D176" s="67">
        <v>1</v>
      </c>
      <c r="E176" s="68" t="s">
        <v>132</v>
      </c>
      <c r="F176" s="69">
        <v>32</v>
      </c>
      <c r="G176" s="66" t="s">
        <v>51</v>
      </c>
      <c r="H176" s="70"/>
      <c r="I176" s="71"/>
      <c r="J176" s="71"/>
      <c r="K176" s="35" t="s">
        <v>65</v>
      </c>
      <c r="L176" s="79">
        <v>176</v>
      </c>
      <c r="M176" s="79"/>
      <c r="N176" s="73"/>
      <c r="O176" s="90" t="s">
        <v>524</v>
      </c>
      <c r="P176" s="93">
        <v>44531.03138888889</v>
      </c>
      <c r="Q176" s="90" t="s">
        <v>585</v>
      </c>
      <c r="R176" s="90"/>
      <c r="S176" s="90"/>
      <c r="T176" s="90"/>
      <c r="U176" s="90"/>
      <c r="V176" s="96" t="str">
        <f>HYPERLINK("https://abs.twimg.com/sticky/default_profile_images/default_profile_normal.png")</f>
        <v>https://abs.twimg.com/sticky/default_profile_images/default_profile_normal.png</v>
      </c>
      <c r="W176" s="93">
        <v>44531.03138888889</v>
      </c>
      <c r="X176" s="100">
        <v>44531</v>
      </c>
      <c r="Y176" s="97" t="s">
        <v>800</v>
      </c>
      <c r="Z176" s="96" t="str">
        <f>HYPERLINK("https://twitter.com/eramaas/status/1465844396386131971")</f>
        <v>https://twitter.com/eramaas/status/1465844396386131971</v>
      </c>
      <c r="AA176" s="90"/>
      <c r="AB176" s="90"/>
      <c r="AC176" s="97" t="s">
        <v>1052</v>
      </c>
      <c r="AD176" s="97" t="s">
        <v>1261</v>
      </c>
      <c r="AE176" s="90" t="b">
        <v>0</v>
      </c>
      <c r="AF176" s="90">
        <v>2</v>
      </c>
      <c r="AG176" s="97" t="s">
        <v>1378</v>
      </c>
      <c r="AH176" s="90" t="b">
        <v>0</v>
      </c>
      <c r="AI176" s="90" t="s">
        <v>1442</v>
      </c>
      <c r="AJ176" s="90"/>
      <c r="AK176" s="97" t="s">
        <v>1338</v>
      </c>
      <c r="AL176" s="90" t="b">
        <v>0</v>
      </c>
      <c r="AM176" s="90">
        <v>1</v>
      </c>
      <c r="AN176" s="97" t="s">
        <v>1338</v>
      </c>
      <c r="AO176" s="97" t="s">
        <v>1452</v>
      </c>
      <c r="AP176" s="90" t="b">
        <v>0</v>
      </c>
      <c r="AQ176" s="97" t="s">
        <v>1261</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4</v>
      </c>
      <c r="BE176" s="89" t="str">
        <f>REPLACE(INDEX(GroupVertices[Group],MATCH(Edges[[#This Row],[Vertex 2]],GroupVertices[Vertex],0)),1,1,"")</f>
        <v>4</v>
      </c>
      <c r="BF176" s="49"/>
      <c r="BG176" s="50"/>
      <c r="BH176" s="49"/>
      <c r="BI176" s="50"/>
      <c r="BJ176" s="49"/>
      <c r="BK176" s="50"/>
      <c r="BL176" s="49"/>
      <c r="BM176" s="50"/>
      <c r="BN176" s="49"/>
    </row>
    <row r="177" spans="1:66" ht="15">
      <c r="A177" s="65" t="s">
        <v>288</v>
      </c>
      <c r="B177" s="65" t="s">
        <v>439</v>
      </c>
      <c r="C177" s="66" t="s">
        <v>5817</v>
      </c>
      <c r="D177" s="67">
        <v>1</v>
      </c>
      <c r="E177" s="68" t="s">
        <v>132</v>
      </c>
      <c r="F177" s="69">
        <v>32</v>
      </c>
      <c r="G177" s="66" t="s">
        <v>51</v>
      </c>
      <c r="H177" s="70"/>
      <c r="I177" s="71"/>
      <c r="J177" s="71"/>
      <c r="K177" s="35" t="s">
        <v>65</v>
      </c>
      <c r="L177" s="79">
        <v>177</v>
      </c>
      <c r="M177" s="79"/>
      <c r="N177" s="73"/>
      <c r="O177" s="90" t="s">
        <v>525</v>
      </c>
      <c r="P177" s="93">
        <v>44531.0315625</v>
      </c>
      <c r="Q177" s="90" t="s">
        <v>585</v>
      </c>
      <c r="R177" s="90"/>
      <c r="S177" s="90"/>
      <c r="T177" s="90"/>
      <c r="U177" s="90"/>
      <c r="V177" s="96" t="str">
        <f>HYPERLINK("https://abs.twimg.com/sticky/default_profile_images/default_profile_normal.png")</f>
        <v>https://abs.twimg.com/sticky/default_profile_images/default_profile_normal.png</v>
      </c>
      <c r="W177" s="93">
        <v>44531.0315625</v>
      </c>
      <c r="X177" s="100">
        <v>44531</v>
      </c>
      <c r="Y177" s="97" t="s">
        <v>801</v>
      </c>
      <c r="Z177" s="96" t="str">
        <f>HYPERLINK("https://twitter.com/eramaas/status/1465844458491195397")</f>
        <v>https://twitter.com/eramaas/status/1465844458491195397</v>
      </c>
      <c r="AA177" s="90"/>
      <c r="AB177" s="90"/>
      <c r="AC177" s="97" t="s">
        <v>1053</v>
      </c>
      <c r="AD177" s="90"/>
      <c r="AE177" s="90" t="b">
        <v>0</v>
      </c>
      <c r="AF177" s="90">
        <v>0</v>
      </c>
      <c r="AG177" s="97" t="s">
        <v>1338</v>
      </c>
      <c r="AH177" s="90" t="b">
        <v>0</v>
      </c>
      <c r="AI177" s="90" t="s">
        <v>1442</v>
      </c>
      <c r="AJ177" s="90"/>
      <c r="AK177" s="97" t="s">
        <v>1338</v>
      </c>
      <c r="AL177" s="90" t="b">
        <v>0</v>
      </c>
      <c r="AM177" s="90">
        <v>1</v>
      </c>
      <c r="AN177" s="97" t="s">
        <v>1052</v>
      </c>
      <c r="AO177" s="97" t="s">
        <v>1452</v>
      </c>
      <c r="AP177" s="90" t="b">
        <v>0</v>
      </c>
      <c r="AQ177" s="97" t="s">
        <v>1052</v>
      </c>
      <c r="AR177" s="90" t="s">
        <v>187</v>
      </c>
      <c r="AS177" s="90">
        <v>0</v>
      </c>
      <c r="AT177" s="90">
        <v>0</v>
      </c>
      <c r="AU177" s="90"/>
      <c r="AV177" s="90"/>
      <c r="AW177" s="90"/>
      <c r="AX177" s="90"/>
      <c r="AY177" s="90"/>
      <c r="AZ177" s="90"/>
      <c r="BA177" s="90"/>
      <c r="BB177" s="90"/>
      <c r="BC177">
        <v>1</v>
      </c>
      <c r="BD177" s="89" t="str">
        <f>REPLACE(INDEX(GroupVertices[Group],MATCH(Edges[[#This Row],[Vertex 1]],GroupVertices[Vertex],0)),1,1,"")</f>
        <v>4</v>
      </c>
      <c r="BE177" s="89" t="str">
        <f>REPLACE(INDEX(GroupVertices[Group],MATCH(Edges[[#This Row],[Vertex 2]],GroupVertices[Vertex],0)),1,1,"")</f>
        <v>4</v>
      </c>
      <c r="BF177" s="49"/>
      <c r="BG177" s="50"/>
      <c r="BH177" s="49"/>
      <c r="BI177" s="50"/>
      <c r="BJ177" s="49"/>
      <c r="BK177" s="50"/>
      <c r="BL177" s="49"/>
      <c r="BM177" s="50"/>
      <c r="BN177" s="49"/>
    </row>
    <row r="178" spans="1:66" ht="15">
      <c r="A178" s="65" t="s">
        <v>288</v>
      </c>
      <c r="B178" s="65" t="s">
        <v>440</v>
      </c>
      <c r="C178" s="66" t="s">
        <v>5817</v>
      </c>
      <c r="D178" s="67">
        <v>1</v>
      </c>
      <c r="E178" s="68" t="s">
        <v>132</v>
      </c>
      <c r="F178" s="69">
        <v>32</v>
      </c>
      <c r="G178" s="66" t="s">
        <v>51</v>
      </c>
      <c r="H178" s="70"/>
      <c r="I178" s="71"/>
      <c r="J178" s="71"/>
      <c r="K178" s="35" t="s">
        <v>65</v>
      </c>
      <c r="L178" s="79">
        <v>178</v>
      </c>
      <c r="M178" s="79"/>
      <c r="N178" s="73"/>
      <c r="O178" s="90" t="s">
        <v>524</v>
      </c>
      <c r="P178" s="93">
        <v>44531.03138888889</v>
      </c>
      <c r="Q178" s="90" t="s">
        <v>585</v>
      </c>
      <c r="R178" s="90"/>
      <c r="S178" s="90"/>
      <c r="T178" s="90"/>
      <c r="U178" s="90"/>
      <c r="V178" s="96" t="str">
        <f>HYPERLINK("https://abs.twimg.com/sticky/default_profile_images/default_profile_normal.png")</f>
        <v>https://abs.twimg.com/sticky/default_profile_images/default_profile_normal.png</v>
      </c>
      <c r="W178" s="93">
        <v>44531.03138888889</v>
      </c>
      <c r="X178" s="100">
        <v>44531</v>
      </c>
      <c r="Y178" s="97" t="s">
        <v>800</v>
      </c>
      <c r="Z178" s="96" t="str">
        <f>HYPERLINK("https://twitter.com/eramaas/status/1465844396386131971")</f>
        <v>https://twitter.com/eramaas/status/1465844396386131971</v>
      </c>
      <c r="AA178" s="90"/>
      <c r="AB178" s="90"/>
      <c r="AC178" s="97" t="s">
        <v>1052</v>
      </c>
      <c r="AD178" s="97" t="s">
        <v>1261</v>
      </c>
      <c r="AE178" s="90" t="b">
        <v>0</v>
      </c>
      <c r="AF178" s="90">
        <v>2</v>
      </c>
      <c r="AG178" s="97" t="s">
        <v>1378</v>
      </c>
      <c r="AH178" s="90" t="b">
        <v>0</v>
      </c>
      <c r="AI178" s="90" t="s">
        <v>1442</v>
      </c>
      <c r="AJ178" s="90"/>
      <c r="AK178" s="97" t="s">
        <v>1338</v>
      </c>
      <c r="AL178" s="90" t="b">
        <v>0</v>
      </c>
      <c r="AM178" s="90">
        <v>1</v>
      </c>
      <c r="AN178" s="97" t="s">
        <v>1338</v>
      </c>
      <c r="AO178" s="97" t="s">
        <v>1452</v>
      </c>
      <c r="AP178" s="90" t="b">
        <v>0</v>
      </c>
      <c r="AQ178" s="97" t="s">
        <v>1261</v>
      </c>
      <c r="AR178" s="90" t="s">
        <v>187</v>
      </c>
      <c r="AS178" s="90">
        <v>0</v>
      </c>
      <c r="AT178" s="90">
        <v>0</v>
      </c>
      <c r="AU178" s="90"/>
      <c r="AV178" s="90"/>
      <c r="AW178" s="90"/>
      <c r="AX178" s="90"/>
      <c r="AY178" s="90"/>
      <c r="AZ178" s="90"/>
      <c r="BA178" s="90"/>
      <c r="BB178" s="90"/>
      <c r="BC178">
        <v>1</v>
      </c>
      <c r="BD178" s="89" t="str">
        <f>REPLACE(INDEX(GroupVertices[Group],MATCH(Edges[[#This Row],[Vertex 1]],GroupVertices[Vertex],0)),1,1,"")</f>
        <v>4</v>
      </c>
      <c r="BE178" s="89" t="str">
        <f>REPLACE(INDEX(GroupVertices[Group],MATCH(Edges[[#This Row],[Vertex 2]],GroupVertices[Vertex],0)),1,1,"")</f>
        <v>4</v>
      </c>
      <c r="BF178" s="49"/>
      <c r="BG178" s="50"/>
      <c r="BH178" s="49"/>
      <c r="BI178" s="50"/>
      <c r="BJ178" s="49"/>
      <c r="BK178" s="50"/>
      <c r="BL178" s="49"/>
      <c r="BM178" s="50"/>
      <c r="BN178" s="49"/>
    </row>
    <row r="179" spans="1:66" ht="15">
      <c r="A179" s="65" t="s">
        <v>288</v>
      </c>
      <c r="B179" s="65" t="s">
        <v>440</v>
      </c>
      <c r="C179" s="66" t="s">
        <v>5817</v>
      </c>
      <c r="D179" s="67">
        <v>1</v>
      </c>
      <c r="E179" s="68" t="s">
        <v>132</v>
      </c>
      <c r="F179" s="69">
        <v>32</v>
      </c>
      <c r="G179" s="66" t="s">
        <v>51</v>
      </c>
      <c r="H179" s="70"/>
      <c r="I179" s="71"/>
      <c r="J179" s="71"/>
      <c r="K179" s="35" t="s">
        <v>65</v>
      </c>
      <c r="L179" s="79">
        <v>179</v>
      </c>
      <c r="M179" s="79"/>
      <c r="N179" s="73"/>
      <c r="O179" s="90" t="s">
        <v>525</v>
      </c>
      <c r="P179" s="93">
        <v>44531.0315625</v>
      </c>
      <c r="Q179" s="90" t="s">
        <v>585</v>
      </c>
      <c r="R179" s="90"/>
      <c r="S179" s="90"/>
      <c r="T179" s="90"/>
      <c r="U179" s="90"/>
      <c r="V179" s="96" t="str">
        <f>HYPERLINK("https://abs.twimg.com/sticky/default_profile_images/default_profile_normal.png")</f>
        <v>https://abs.twimg.com/sticky/default_profile_images/default_profile_normal.png</v>
      </c>
      <c r="W179" s="93">
        <v>44531.0315625</v>
      </c>
      <c r="X179" s="100">
        <v>44531</v>
      </c>
      <c r="Y179" s="97" t="s">
        <v>801</v>
      </c>
      <c r="Z179" s="96" t="str">
        <f>HYPERLINK("https://twitter.com/eramaas/status/1465844458491195397")</f>
        <v>https://twitter.com/eramaas/status/1465844458491195397</v>
      </c>
      <c r="AA179" s="90"/>
      <c r="AB179" s="90"/>
      <c r="AC179" s="97" t="s">
        <v>1053</v>
      </c>
      <c r="AD179" s="90"/>
      <c r="AE179" s="90" t="b">
        <v>0</v>
      </c>
      <c r="AF179" s="90">
        <v>0</v>
      </c>
      <c r="AG179" s="97" t="s">
        <v>1338</v>
      </c>
      <c r="AH179" s="90" t="b">
        <v>0</v>
      </c>
      <c r="AI179" s="90" t="s">
        <v>1442</v>
      </c>
      <c r="AJ179" s="90"/>
      <c r="AK179" s="97" t="s">
        <v>1338</v>
      </c>
      <c r="AL179" s="90" t="b">
        <v>0</v>
      </c>
      <c r="AM179" s="90">
        <v>1</v>
      </c>
      <c r="AN179" s="97" t="s">
        <v>1052</v>
      </c>
      <c r="AO179" s="97" t="s">
        <v>1452</v>
      </c>
      <c r="AP179" s="90" t="b">
        <v>0</v>
      </c>
      <c r="AQ179" s="97" t="s">
        <v>1052</v>
      </c>
      <c r="AR179" s="90" t="s">
        <v>187</v>
      </c>
      <c r="AS179" s="90">
        <v>0</v>
      </c>
      <c r="AT179" s="90">
        <v>0</v>
      </c>
      <c r="AU179" s="90"/>
      <c r="AV179" s="90"/>
      <c r="AW179" s="90"/>
      <c r="AX179" s="90"/>
      <c r="AY179" s="90"/>
      <c r="AZ179" s="90"/>
      <c r="BA179" s="90"/>
      <c r="BB179" s="90"/>
      <c r="BC179">
        <v>1</v>
      </c>
      <c r="BD179" s="89" t="str">
        <f>REPLACE(INDEX(GroupVertices[Group],MATCH(Edges[[#This Row],[Vertex 1]],GroupVertices[Vertex],0)),1,1,"")</f>
        <v>4</v>
      </c>
      <c r="BE179" s="89" t="str">
        <f>REPLACE(INDEX(GroupVertices[Group],MATCH(Edges[[#This Row],[Vertex 2]],GroupVertices[Vertex],0)),1,1,"")</f>
        <v>4</v>
      </c>
      <c r="BF179" s="49"/>
      <c r="BG179" s="50"/>
      <c r="BH179" s="49"/>
      <c r="BI179" s="50"/>
      <c r="BJ179" s="49"/>
      <c r="BK179" s="50"/>
      <c r="BL179" s="49"/>
      <c r="BM179" s="50"/>
      <c r="BN179" s="49"/>
    </row>
    <row r="180" spans="1:66" ht="15">
      <c r="A180" s="65" t="s">
        <v>288</v>
      </c>
      <c r="B180" s="65" t="s">
        <v>441</v>
      </c>
      <c r="C180" s="66" t="s">
        <v>5817</v>
      </c>
      <c r="D180" s="67">
        <v>1</v>
      </c>
      <c r="E180" s="68" t="s">
        <v>132</v>
      </c>
      <c r="F180" s="69">
        <v>32</v>
      </c>
      <c r="G180" s="66" t="s">
        <v>51</v>
      </c>
      <c r="H180" s="70"/>
      <c r="I180" s="71"/>
      <c r="J180" s="71"/>
      <c r="K180" s="35" t="s">
        <v>65</v>
      </c>
      <c r="L180" s="79">
        <v>180</v>
      </c>
      <c r="M180" s="79"/>
      <c r="N180" s="73"/>
      <c r="O180" s="90" t="s">
        <v>524</v>
      </c>
      <c r="P180" s="93">
        <v>44531.03138888889</v>
      </c>
      <c r="Q180" s="90" t="s">
        <v>585</v>
      </c>
      <c r="R180" s="90"/>
      <c r="S180" s="90"/>
      <c r="T180" s="90"/>
      <c r="U180" s="90"/>
      <c r="V180" s="96" t="str">
        <f>HYPERLINK("https://abs.twimg.com/sticky/default_profile_images/default_profile_normal.png")</f>
        <v>https://abs.twimg.com/sticky/default_profile_images/default_profile_normal.png</v>
      </c>
      <c r="W180" s="93">
        <v>44531.03138888889</v>
      </c>
      <c r="X180" s="100">
        <v>44531</v>
      </c>
      <c r="Y180" s="97" t="s">
        <v>800</v>
      </c>
      <c r="Z180" s="96" t="str">
        <f>HYPERLINK("https://twitter.com/eramaas/status/1465844396386131971")</f>
        <v>https://twitter.com/eramaas/status/1465844396386131971</v>
      </c>
      <c r="AA180" s="90"/>
      <c r="AB180" s="90"/>
      <c r="AC180" s="97" t="s">
        <v>1052</v>
      </c>
      <c r="AD180" s="97" t="s">
        <v>1261</v>
      </c>
      <c r="AE180" s="90" t="b">
        <v>0</v>
      </c>
      <c r="AF180" s="90">
        <v>2</v>
      </c>
      <c r="AG180" s="97" t="s">
        <v>1378</v>
      </c>
      <c r="AH180" s="90" t="b">
        <v>0</v>
      </c>
      <c r="AI180" s="90" t="s">
        <v>1442</v>
      </c>
      <c r="AJ180" s="90"/>
      <c r="AK180" s="97" t="s">
        <v>1338</v>
      </c>
      <c r="AL180" s="90" t="b">
        <v>0</v>
      </c>
      <c r="AM180" s="90">
        <v>1</v>
      </c>
      <c r="AN180" s="97" t="s">
        <v>1338</v>
      </c>
      <c r="AO180" s="97" t="s">
        <v>1452</v>
      </c>
      <c r="AP180" s="90" t="b">
        <v>0</v>
      </c>
      <c r="AQ180" s="97" t="s">
        <v>1261</v>
      </c>
      <c r="AR180" s="90" t="s">
        <v>187</v>
      </c>
      <c r="AS180" s="90">
        <v>0</v>
      </c>
      <c r="AT180" s="90">
        <v>0</v>
      </c>
      <c r="AU180" s="90"/>
      <c r="AV180" s="90"/>
      <c r="AW180" s="90"/>
      <c r="AX180" s="90"/>
      <c r="AY180" s="90"/>
      <c r="AZ180" s="90"/>
      <c r="BA180" s="90"/>
      <c r="BB180" s="90"/>
      <c r="BC180">
        <v>1</v>
      </c>
      <c r="BD180" s="89" t="str">
        <f>REPLACE(INDEX(GroupVertices[Group],MATCH(Edges[[#This Row],[Vertex 1]],GroupVertices[Vertex],0)),1,1,"")</f>
        <v>4</v>
      </c>
      <c r="BE180" s="89" t="str">
        <f>REPLACE(INDEX(GroupVertices[Group],MATCH(Edges[[#This Row],[Vertex 2]],GroupVertices[Vertex],0)),1,1,"")</f>
        <v>4</v>
      </c>
      <c r="BF180" s="49"/>
      <c r="BG180" s="50"/>
      <c r="BH180" s="49"/>
      <c r="BI180" s="50"/>
      <c r="BJ180" s="49"/>
      <c r="BK180" s="50"/>
      <c r="BL180" s="49"/>
      <c r="BM180" s="50"/>
      <c r="BN180" s="49"/>
    </row>
    <row r="181" spans="1:66" ht="15">
      <c r="A181" s="65" t="s">
        <v>288</v>
      </c>
      <c r="B181" s="65" t="s">
        <v>441</v>
      </c>
      <c r="C181" s="66" t="s">
        <v>5817</v>
      </c>
      <c r="D181" s="67">
        <v>1</v>
      </c>
      <c r="E181" s="68" t="s">
        <v>132</v>
      </c>
      <c r="F181" s="69">
        <v>32</v>
      </c>
      <c r="G181" s="66" t="s">
        <v>51</v>
      </c>
      <c r="H181" s="70"/>
      <c r="I181" s="71"/>
      <c r="J181" s="71"/>
      <c r="K181" s="35" t="s">
        <v>65</v>
      </c>
      <c r="L181" s="79">
        <v>181</v>
      </c>
      <c r="M181" s="79"/>
      <c r="N181" s="73"/>
      <c r="O181" s="90" t="s">
        <v>525</v>
      </c>
      <c r="P181" s="93">
        <v>44531.0315625</v>
      </c>
      <c r="Q181" s="90" t="s">
        <v>585</v>
      </c>
      <c r="R181" s="90"/>
      <c r="S181" s="90"/>
      <c r="T181" s="90"/>
      <c r="U181" s="90"/>
      <c r="V181" s="96" t="str">
        <f>HYPERLINK("https://abs.twimg.com/sticky/default_profile_images/default_profile_normal.png")</f>
        <v>https://abs.twimg.com/sticky/default_profile_images/default_profile_normal.png</v>
      </c>
      <c r="W181" s="93">
        <v>44531.0315625</v>
      </c>
      <c r="X181" s="100">
        <v>44531</v>
      </c>
      <c r="Y181" s="97" t="s">
        <v>801</v>
      </c>
      <c r="Z181" s="96" t="str">
        <f>HYPERLINK("https://twitter.com/eramaas/status/1465844458491195397")</f>
        <v>https://twitter.com/eramaas/status/1465844458491195397</v>
      </c>
      <c r="AA181" s="90"/>
      <c r="AB181" s="90"/>
      <c r="AC181" s="97" t="s">
        <v>1053</v>
      </c>
      <c r="AD181" s="90"/>
      <c r="AE181" s="90" t="b">
        <v>0</v>
      </c>
      <c r="AF181" s="90">
        <v>0</v>
      </c>
      <c r="AG181" s="97" t="s">
        <v>1338</v>
      </c>
      <c r="AH181" s="90" t="b">
        <v>0</v>
      </c>
      <c r="AI181" s="90" t="s">
        <v>1442</v>
      </c>
      <c r="AJ181" s="90"/>
      <c r="AK181" s="97" t="s">
        <v>1338</v>
      </c>
      <c r="AL181" s="90" t="b">
        <v>0</v>
      </c>
      <c r="AM181" s="90">
        <v>1</v>
      </c>
      <c r="AN181" s="97" t="s">
        <v>1052</v>
      </c>
      <c r="AO181" s="97" t="s">
        <v>1452</v>
      </c>
      <c r="AP181" s="90" t="b">
        <v>0</v>
      </c>
      <c r="AQ181" s="97" t="s">
        <v>1052</v>
      </c>
      <c r="AR181" s="90" t="s">
        <v>187</v>
      </c>
      <c r="AS181" s="90">
        <v>0</v>
      </c>
      <c r="AT181" s="90">
        <v>0</v>
      </c>
      <c r="AU181" s="90"/>
      <c r="AV181" s="90"/>
      <c r="AW181" s="90"/>
      <c r="AX181" s="90"/>
      <c r="AY181" s="90"/>
      <c r="AZ181" s="90"/>
      <c r="BA181" s="90"/>
      <c r="BB181" s="90"/>
      <c r="BC181">
        <v>1</v>
      </c>
      <c r="BD181" s="89" t="str">
        <f>REPLACE(INDEX(GroupVertices[Group],MATCH(Edges[[#This Row],[Vertex 1]],GroupVertices[Vertex],0)),1,1,"")</f>
        <v>4</v>
      </c>
      <c r="BE181" s="89" t="str">
        <f>REPLACE(INDEX(GroupVertices[Group],MATCH(Edges[[#This Row],[Vertex 2]],GroupVertices[Vertex],0)),1,1,"")</f>
        <v>4</v>
      </c>
      <c r="BF181" s="49"/>
      <c r="BG181" s="50"/>
      <c r="BH181" s="49"/>
      <c r="BI181" s="50"/>
      <c r="BJ181" s="49"/>
      <c r="BK181" s="50"/>
      <c r="BL181" s="49"/>
      <c r="BM181" s="50"/>
      <c r="BN181" s="49"/>
    </row>
    <row r="182" spans="1:66" ht="15">
      <c r="A182" s="65" t="s">
        <v>288</v>
      </c>
      <c r="B182" s="65" t="s">
        <v>442</v>
      </c>
      <c r="C182" s="66" t="s">
        <v>5817</v>
      </c>
      <c r="D182" s="67">
        <v>1</v>
      </c>
      <c r="E182" s="68" t="s">
        <v>132</v>
      </c>
      <c r="F182" s="69">
        <v>32</v>
      </c>
      <c r="G182" s="66" t="s">
        <v>51</v>
      </c>
      <c r="H182" s="70"/>
      <c r="I182" s="71"/>
      <c r="J182" s="71"/>
      <c r="K182" s="35" t="s">
        <v>65</v>
      </c>
      <c r="L182" s="79">
        <v>182</v>
      </c>
      <c r="M182" s="79"/>
      <c r="N182" s="73"/>
      <c r="O182" s="90" t="s">
        <v>524</v>
      </c>
      <c r="P182" s="93">
        <v>44531.03138888889</v>
      </c>
      <c r="Q182" s="90" t="s">
        <v>585</v>
      </c>
      <c r="R182" s="90"/>
      <c r="S182" s="90"/>
      <c r="T182" s="90"/>
      <c r="U182" s="90"/>
      <c r="V182" s="96" t="str">
        <f>HYPERLINK("https://abs.twimg.com/sticky/default_profile_images/default_profile_normal.png")</f>
        <v>https://abs.twimg.com/sticky/default_profile_images/default_profile_normal.png</v>
      </c>
      <c r="W182" s="93">
        <v>44531.03138888889</v>
      </c>
      <c r="X182" s="100">
        <v>44531</v>
      </c>
      <c r="Y182" s="97" t="s">
        <v>800</v>
      </c>
      <c r="Z182" s="96" t="str">
        <f>HYPERLINK("https://twitter.com/eramaas/status/1465844396386131971")</f>
        <v>https://twitter.com/eramaas/status/1465844396386131971</v>
      </c>
      <c r="AA182" s="90"/>
      <c r="AB182" s="90"/>
      <c r="AC182" s="97" t="s">
        <v>1052</v>
      </c>
      <c r="AD182" s="97" t="s">
        <v>1261</v>
      </c>
      <c r="AE182" s="90" t="b">
        <v>0</v>
      </c>
      <c r="AF182" s="90">
        <v>2</v>
      </c>
      <c r="AG182" s="97" t="s">
        <v>1378</v>
      </c>
      <c r="AH182" s="90" t="b">
        <v>0</v>
      </c>
      <c r="AI182" s="90" t="s">
        <v>1442</v>
      </c>
      <c r="AJ182" s="90"/>
      <c r="AK182" s="97" t="s">
        <v>1338</v>
      </c>
      <c r="AL182" s="90" t="b">
        <v>0</v>
      </c>
      <c r="AM182" s="90">
        <v>1</v>
      </c>
      <c r="AN182" s="97" t="s">
        <v>1338</v>
      </c>
      <c r="AO182" s="97" t="s">
        <v>1452</v>
      </c>
      <c r="AP182" s="90" t="b">
        <v>0</v>
      </c>
      <c r="AQ182" s="97" t="s">
        <v>1261</v>
      </c>
      <c r="AR182" s="90" t="s">
        <v>187</v>
      </c>
      <c r="AS182" s="90">
        <v>0</v>
      </c>
      <c r="AT182" s="90">
        <v>0</v>
      </c>
      <c r="AU182" s="90"/>
      <c r="AV182" s="90"/>
      <c r="AW182" s="90"/>
      <c r="AX182" s="90"/>
      <c r="AY182" s="90"/>
      <c r="AZ182" s="90"/>
      <c r="BA182" s="90"/>
      <c r="BB182" s="90"/>
      <c r="BC182">
        <v>1</v>
      </c>
      <c r="BD182" s="89" t="str">
        <f>REPLACE(INDEX(GroupVertices[Group],MATCH(Edges[[#This Row],[Vertex 1]],GroupVertices[Vertex],0)),1,1,"")</f>
        <v>4</v>
      </c>
      <c r="BE182" s="89" t="str">
        <f>REPLACE(INDEX(GroupVertices[Group],MATCH(Edges[[#This Row],[Vertex 2]],GroupVertices[Vertex],0)),1,1,"")</f>
        <v>4</v>
      </c>
      <c r="BF182" s="49"/>
      <c r="BG182" s="50"/>
      <c r="BH182" s="49"/>
      <c r="BI182" s="50"/>
      <c r="BJ182" s="49"/>
      <c r="BK182" s="50"/>
      <c r="BL182" s="49"/>
      <c r="BM182" s="50"/>
      <c r="BN182" s="49"/>
    </row>
    <row r="183" spans="1:66" ht="15">
      <c r="A183" s="65" t="s">
        <v>288</v>
      </c>
      <c r="B183" s="65" t="s">
        <v>442</v>
      </c>
      <c r="C183" s="66" t="s">
        <v>5817</v>
      </c>
      <c r="D183" s="67">
        <v>1</v>
      </c>
      <c r="E183" s="68" t="s">
        <v>132</v>
      </c>
      <c r="F183" s="69">
        <v>32</v>
      </c>
      <c r="G183" s="66" t="s">
        <v>51</v>
      </c>
      <c r="H183" s="70"/>
      <c r="I183" s="71"/>
      <c r="J183" s="71"/>
      <c r="K183" s="35" t="s">
        <v>65</v>
      </c>
      <c r="L183" s="79">
        <v>183</v>
      </c>
      <c r="M183" s="79"/>
      <c r="N183" s="73"/>
      <c r="O183" s="90" t="s">
        <v>525</v>
      </c>
      <c r="P183" s="93">
        <v>44531.0315625</v>
      </c>
      <c r="Q183" s="90" t="s">
        <v>585</v>
      </c>
      <c r="R183" s="90"/>
      <c r="S183" s="90"/>
      <c r="T183" s="90"/>
      <c r="U183" s="90"/>
      <c r="V183" s="96" t="str">
        <f>HYPERLINK("https://abs.twimg.com/sticky/default_profile_images/default_profile_normal.png")</f>
        <v>https://abs.twimg.com/sticky/default_profile_images/default_profile_normal.png</v>
      </c>
      <c r="W183" s="93">
        <v>44531.0315625</v>
      </c>
      <c r="X183" s="100">
        <v>44531</v>
      </c>
      <c r="Y183" s="97" t="s">
        <v>801</v>
      </c>
      <c r="Z183" s="96" t="str">
        <f>HYPERLINK("https://twitter.com/eramaas/status/1465844458491195397")</f>
        <v>https://twitter.com/eramaas/status/1465844458491195397</v>
      </c>
      <c r="AA183" s="90"/>
      <c r="AB183" s="90"/>
      <c r="AC183" s="97" t="s">
        <v>1053</v>
      </c>
      <c r="AD183" s="90"/>
      <c r="AE183" s="90" t="b">
        <v>0</v>
      </c>
      <c r="AF183" s="90">
        <v>0</v>
      </c>
      <c r="AG183" s="97" t="s">
        <v>1338</v>
      </c>
      <c r="AH183" s="90" t="b">
        <v>0</v>
      </c>
      <c r="AI183" s="90" t="s">
        <v>1442</v>
      </c>
      <c r="AJ183" s="90"/>
      <c r="AK183" s="97" t="s">
        <v>1338</v>
      </c>
      <c r="AL183" s="90" t="b">
        <v>0</v>
      </c>
      <c r="AM183" s="90">
        <v>1</v>
      </c>
      <c r="AN183" s="97" t="s">
        <v>1052</v>
      </c>
      <c r="AO183" s="97" t="s">
        <v>1452</v>
      </c>
      <c r="AP183" s="90" t="b">
        <v>0</v>
      </c>
      <c r="AQ183" s="97" t="s">
        <v>1052</v>
      </c>
      <c r="AR183" s="90" t="s">
        <v>187</v>
      </c>
      <c r="AS183" s="90">
        <v>0</v>
      </c>
      <c r="AT183" s="90">
        <v>0</v>
      </c>
      <c r="AU183" s="90"/>
      <c r="AV183" s="90"/>
      <c r="AW183" s="90"/>
      <c r="AX183" s="90"/>
      <c r="AY183" s="90"/>
      <c r="AZ183" s="90"/>
      <c r="BA183" s="90"/>
      <c r="BB183" s="90"/>
      <c r="BC183">
        <v>1</v>
      </c>
      <c r="BD183" s="89" t="str">
        <f>REPLACE(INDEX(GroupVertices[Group],MATCH(Edges[[#This Row],[Vertex 1]],GroupVertices[Vertex],0)),1,1,"")</f>
        <v>4</v>
      </c>
      <c r="BE183" s="89" t="str">
        <f>REPLACE(INDEX(GroupVertices[Group],MATCH(Edges[[#This Row],[Vertex 2]],GroupVertices[Vertex],0)),1,1,"")</f>
        <v>4</v>
      </c>
      <c r="BF183" s="49"/>
      <c r="BG183" s="50"/>
      <c r="BH183" s="49"/>
      <c r="BI183" s="50"/>
      <c r="BJ183" s="49"/>
      <c r="BK183" s="50"/>
      <c r="BL183" s="49"/>
      <c r="BM183" s="50"/>
      <c r="BN183" s="49"/>
    </row>
    <row r="184" spans="1:66" ht="15">
      <c r="A184" s="65" t="s">
        <v>288</v>
      </c>
      <c r="B184" s="65" t="s">
        <v>443</v>
      </c>
      <c r="C184" s="66" t="s">
        <v>5817</v>
      </c>
      <c r="D184" s="67">
        <v>1</v>
      </c>
      <c r="E184" s="68" t="s">
        <v>132</v>
      </c>
      <c r="F184" s="69">
        <v>32</v>
      </c>
      <c r="G184" s="66" t="s">
        <v>51</v>
      </c>
      <c r="H184" s="70"/>
      <c r="I184" s="71"/>
      <c r="J184" s="71"/>
      <c r="K184" s="35" t="s">
        <v>65</v>
      </c>
      <c r="L184" s="79">
        <v>184</v>
      </c>
      <c r="M184" s="79"/>
      <c r="N184" s="73"/>
      <c r="O184" s="90" t="s">
        <v>524</v>
      </c>
      <c r="P184" s="93">
        <v>44531.03138888889</v>
      </c>
      <c r="Q184" s="90" t="s">
        <v>585</v>
      </c>
      <c r="R184" s="90"/>
      <c r="S184" s="90"/>
      <c r="T184" s="90"/>
      <c r="U184" s="90"/>
      <c r="V184" s="96" t="str">
        <f>HYPERLINK("https://abs.twimg.com/sticky/default_profile_images/default_profile_normal.png")</f>
        <v>https://abs.twimg.com/sticky/default_profile_images/default_profile_normal.png</v>
      </c>
      <c r="W184" s="93">
        <v>44531.03138888889</v>
      </c>
      <c r="X184" s="100">
        <v>44531</v>
      </c>
      <c r="Y184" s="97" t="s">
        <v>800</v>
      </c>
      <c r="Z184" s="96" t="str">
        <f>HYPERLINK("https://twitter.com/eramaas/status/1465844396386131971")</f>
        <v>https://twitter.com/eramaas/status/1465844396386131971</v>
      </c>
      <c r="AA184" s="90"/>
      <c r="AB184" s="90"/>
      <c r="AC184" s="97" t="s">
        <v>1052</v>
      </c>
      <c r="AD184" s="97" t="s">
        <v>1261</v>
      </c>
      <c r="AE184" s="90" t="b">
        <v>0</v>
      </c>
      <c r="AF184" s="90">
        <v>2</v>
      </c>
      <c r="AG184" s="97" t="s">
        <v>1378</v>
      </c>
      <c r="AH184" s="90" t="b">
        <v>0</v>
      </c>
      <c r="AI184" s="90" t="s">
        <v>1442</v>
      </c>
      <c r="AJ184" s="90"/>
      <c r="AK184" s="97" t="s">
        <v>1338</v>
      </c>
      <c r="AL184" s="90" t="b">
        <v>0</v>
      </c>
      <c r="AM184" s="90">
        <v>1</v>
      </c>
      <c r="AN184" s="97" t="s">
        <v>1338</v>
      </c>
      <c r="AO184" s="97" t="s">
        <v>1452</v>
      </c>
      <c r="AP184" s="90" t="b">
        <v>0</v>
      </c>
      <c r="AQ184" s="97" t="s">
        <v>1261</v>
      </c>
      <c r="AR184" s="90" t="s">
        <v>187</v>
      </c>
      <c r="AS184" s="90">
        <v>0</v>
      </c>
      <c r="AT184" s="90">
        <v>0</v>
      </c>
      <c r="AU184" s="90"/>
      <c r="AV184" s="90"/>
      <c r="AW184" s="90"/>
      <c r="AX184" s="90"/>
      <c r="AY184" s="90"/>
      <c r="AZ184" s="90"/>
      <c r="BA184" s="90"/>
      <c r="BB184" s="90"/>
      <c r="BC184">
        <v>1</v>
      </c>
      <c r="BD184" s="89" t="str">
        <f>REPLACE(INDEX(GroupVertices[Group],MATCH(Edges[[#This Row],[Vertex 1]],GroupVertices[Vertex],0)),1,1,"")</f>
        <v>4</v>
      </c>
      <c r="BE184" s="89" t="str">
        <f>REPLACE(INDEX(GroupVertices[Group],MATCH(Edges[[#This Row],[Vertex 2]],GroupVertices[Vertex],0)),1,1,"")</f>
        <v>4</v>
      </c>
      <c r="BF184" s="49"/>
      <c r="BG184" s="50"/>
      <c r="BH184" s="49"/>
      <c r="BI184" s="50"/>
      <c r="BJ184" s="49"/>
      <c r="BK184" s="50"/>
      <c r="BL184" s="49"/>
      <c r="BM184" s="50"/>
      <c r="BN184" s="49"/>
    </row>
    <row r="185" spans="1:66" ht="15">
      <c r="A185" s="65" t="s">
        <v>288</v>
      </c>
      <c r="B185" s="65" t="s">
        <v>443</v>
      </c>
      <c r="C185" s="66" t="s">
        <v>5817</v>
      </c>
      <c r="D185" s="67">
        <v>1</v>
      </c>
      <c r="E185" s="68" t="s">
        <v>132</v>
      </c>
      <c r="F185" s="69">
        <v>32</v>
      </c>
      <c r="G185" s="66" t="s">
        <v>51</v>
      </c>
      <c r="H185" s="70"/>
      <c r="I185" s="71"/>
      <c r="J185" s="71"/>
      <c r="K185" s="35" t="s">
        <v>65</v>
      </c>
      <c r="L185" s="79">
        <v>185</v>
      </c>
      <c r="M185" s="79"/>
      <c r="N185" s="73"/>
      <c r="O185" s="90" t="s">
        <v>525</v>
      </c>
      <c r="P185" s="93">
        <v>44531.0315625</v>
      </c>
      <c r="Q185" s="90" t="s">
        <v>585</v>
      </c>
      <c r="R185" s="90"/>
      <c r="S185" s="90"/>
      <c r="T185" s="90"/>
      <c r="U185" s="90"/>
      <c r="V185" s="96" t="str">
        <f>HYPERLINK("https://abs.twimg.com/sticky/default_profile_images/default_profile_normal.png")</f>
        <v>https://abs.twimg.com/sticky/default_profile_images/default_profile_normal.png</v>
      </c>
      <c r="W185" s="93">
        <v>44531.0315625</v>
      </c>
      <c r="X185" s="100">
        <v>44531</v>
      </c>
      <c r="Y185" s="97" t="s">
        <v>801</v>
      </c>
      <c r="Z185" s="96" t="str">
        <f>HYPERLINK("https://twitter.com/eramaas/status/1465844458491195397")</f>
        <v>https://twitter.com/eramaas/status/1465844458491195397</v>
      </c>
      <c r="AA185" s="90"/>
      <c r="AB185" s="90"/>
      <c r="AC185" s="97" t="s">
        <v>1053</v>
      </c>
      <c r="AD185" s="90"/>
      <c r="AE185" s="90" t="b">
        <v>0</v>
      </c>
      <c r="AF185" s="90">
        <v>0</v>
      </c>
      <c r="AG185" s="97" t="s">
        <v>1338</v>
      </c>
      <c r="AH185" s="90" t="b">
        <v>0</v>
      </c>
      <c r="AI185" s="90" t="s">
        <v>1442</v>
      </c>
      <c r="AJ185" s="90"/>
      <c r="AK185" s="97" t="s">
        <v>1338</v>
      </c>
      <c r="AL185" s="90" t="b">
        <v>0</v>
      </c>
      <c r="AM185" s="90">
        <v>1</v>
      </c>
      <c r="AN185" s="97" t="s">
        <v>1052</v>
      </c>
      <c r="AO185" s="97" t="s">
        <v>1452</v>
      </c>
      <c r="AP185" s="90" t="b">
        <v>0</v>
      </c>
      <c r="AQ185" s="97" t="s">
        <v>1052</v>
      </c>
      <c r="AR185" s="90" t="s">
        <v>187</v>
      </c>
      <c r="AS185" s="90">
        <v>0</v>
      </c>
      <c r="AT185" s="90">
        <v>0</v>
      </c>
      <c r="AU185" s="90"/>
      <c r="AV185" s="90"/>
      <c r="AW185" s="90"/>
      <c r="AX185" s="90"/>
      <c r="AY185" s="90"/>
      <c r="AZ185" s="90"/>
      <c r="BA185" s="90"/>
      <c r="BB185" s="90"/>
      <c r="BC185">
        <v>1</v>
      </c>
      <c r="BD185" s="89" t="str">
        <f>REPLACE(INDEX(GroupVertices[Group],MATCH(Edges[[#This Row],[Vertex 1]],GroupVertices[Vertex],0)),1,1,"")</f>
        <v>4</v>
      </c>
      <c r="BE185" s="89" t="str">
        <f>REPLACE(INDEX(GroupVertices[Group],MATCH(Edges[[#This Row],[Vertex 2]],GroupVertices[Vertex],0)),1,1,"")</f>
        <v>4</v>
      </c>
      <c r="BF185" s="49"/>
      <c r="BG185" s="50"/>
      <c r="BH185" s="49"/>
      <c r="BI185" s="50"/>
      <c r="BJ185" s="49"/>
      <c r="BK185" s="50"/>
      <c r="BL185" s="49"/>
      <c r="BM185" s="50"/>
      <c r="BN185" s="49"/>
    </row>
    <row r="186" spans="1:66" ht="15">
      <c r="A186" s="65" t="s">
        <v>288</v>
      </c>
      <c r="B186" s="65" t="s">
        <v>444</v>
      </c>
      <c r="C186" s="66" t="s">
        <v>5817</v>
      </c>
      <c r="D186" s="67">
        <v>1</v>
      </c>
      <c r="E186" s="68" t="s">
        <v>132</v>
      </c>
      <c r="F186" s="69">
        <v>32</v>
      </c>
      <c r="G186" s="66" t="s">
        <v>51</v>
      </c>
      <c r="H186" s="70"/>
      <c r="I186" s="71"/>
      <c r="J186" s="71"/>
      <c r="K186" s="35" t="s">
        <v>65</v>
      </c>
      <c r="L186" s="79">
        <v>186</v>
      </c>
      <c r="M186" s="79"/>
      <c r="N186" s="73"/>
      <c r="O186" s="90" t="s">
        <v>524</v>
      </c>
      <c r="P186" s="93">
        <v>44531.03138888889</v>
      </c>
      <c r="Q186" s="90" t="s">
        <v>585</v>
      </c>
      <c r="R186" s="90"/>
      <c r="S186" s="90"/>
      <c r="T186" s="90"/>
      <c r="U186" s="90"/>
      <c r="V186" s="96" t="str">
        <f>HYPERLINK("https://abs.twimg.com/sticky/default_profile_images/default_profile_normal.png")</f>
        <v>https://abs.twimg.com/sticky/default_profile_images/default_profile_normal.png</v>
      </c>
      <c r="W186" s="93">
        <v>44531.03138888889</v>
      </c>
      <c r="X186" s="100">
        <v>44531</v>
      </c>
      <c r="Y186" s="97" t="s">
        <v>800</v>
      </c>
      <c r="Z186" s="96" t="str">
        <f>HYPERLINK("https://twitter.com/eramaas/status/1465844396386131971")</f>
        <v>https://twitter.com/eramaas/status/1465844396386131971</v>
      </c>
      <c r="AA186" s="90"/>
      <c r="AB186" s="90"/>
      <c r="AC186" s="97" t="s">
        <v>1052</v>
      </c>
      <c r="AD186" s="97" t="s">
        <v>1261</v>
      </c>
      <c r="AE186" s="90" t="b">
        <v>0</v>
      </c>
      <c r="AF186" s="90">
        <v>2</v>
      </c>
      <c r="AG186" s="97" t="s">
        <v>1378</v>
      </c>
      <c r="AH186" s="90" t="b">
        <v>0</v>
      </c>
      <c r="AI186" s="90" t="s">
        <v>1442</v>
      </c>
      <c r="AJ186" s="90"/>
      <c r="AK186" s="97" t="s">
        <v>1338</v>
      </c>
      <c r="AL186" s="90" t="b">
        <v>0</v>
      </c>
      <c r="AM186" s="90">
        <v>1</v>
      </c>
      <c r="AN186" s="97" t="s">
        <v>1338</v>
      </c>
      <c r="AO186" s="97" t="s">
        <v>1452</v>
      </c>
      <c r="AP186" s="90" t="b">
        <v>0</v>
      </c>
      <c r="AQ186" s="97" t="s">
        <v>1261</v>
      </c>
      <c r="AR186" s="90" t="s">
        <v>187</v>
      </c>
      <c r="AS186" s="90">
        <v>0</v>
      </c>
      <c r="AT186" s="90">
        <v>0</v>
      </c>
      <c r="AU186" s="90"/>
      <c r="AV186" s="90"/>
      <c r="AW186" s="90"/>
      <c r="AX186" s="90"/>
      <c r="AY186" s="90"/>
      <c r="AZ186" s="90"/>
      <c r="BA186" s="90"/>
      <c r="BB186" s="90"/>
      <c r="BC186">
        <v>1</v>
      </c>
      <c r="BD186" s="89" t="str">
        <f>REPLACE(INDEX(GroupVertices[Group],MATCH(Edges[[#This Row],[Vertex 1]],GroupVertices[Vertex],0)),1,1,"")</f>
        <v>4</v>
      </c>
      <c r="BE186" s="89" t="str">
        <f>REPLACE(INDEX(GroupVertices[Group],MATCH(Edges[[#This Row],[Vertex 2]],GroupVertices[Vertex],0)),1,1,"")</f>
        <v>4</v>
      </c>
      <c r="BF186" s="49"/>
      <c r="BG186" s="50"/>
      <c r="BH186" s="49"/>
      <c r="BI186" s="50"/>
      <c r="BJ186" s="49"/>
      <c r="BK186" s="50"/>
      <c r="BL186" s="49"/>
      <c r="BM186" s="50"/>
      <c r="BN186" s="49"/>
    </row>
    <row r="187" spans="1:66" ht="15">
      <c r="A187" s="65" t="s">
        <v>288</v>
      </c>
      <c r="B187" s="65" t="s">
        <v>444</v>
      </c>
      <c r="C187" s="66" t="s">
        <v>5817</v>
      </c>
      <c r="D187" s="67">
        <v>1</v>
      </c>
      <c r="E187" s="68" t="s">
        <v>132</v>
      </c>
      <c r="F187" s="69">
        <v>32</v>
      </c>
      <c r="G187" s="66" t="s">
        <v>51</v>
      </c>
      <c r="H187" s="70"/>
      <c r="I187" s="71"/>
      <c r="J187" s="71"/>
      <c r="K187" s="35" t="s">
        <v>65</v>
      </c>
      <c r="L187" s="79">
        <v>187</v>
      </c>
      <c r="M187" s="79"/>
      <c r="N187" s="73"/>
      <c r="O187" s="90" t="s">
        <v>525</v>
      </c>
      <c r="P187" s="93">
        <v>44531.0315625</v>
      </c>
      <c r="Q187" s="90" t="s">
        <v>585</v>
      </c>
      <c r="R187" s="90"/>
      <c r="S187" s="90"/>
      <c r="T187" s="90"/>
      <c r="U187" s="90"/>
      <c r="V187" s="96" t="str">
        <f>HYPERLINK("https://abs.twimg.com/sticky/default_profile_images/default_profile_normal.png")</f>
        <v>https://abs.twimg.com/sticky/default_profile_images/default_profile_normal.png</v>
      </c>
      <c r="W187" s="93">
        <v>44531.0315625</v>
      </c>
      <c r="X187" s="100">
        <v>44531</v>
      </c>
      <c r="Y187" s="97" t="s">
        <v>801</v>
      </c>
      <c r="Z187" s="96" t="str">
        <f>HYPERLINK("https://twitter.com/eramaas/status/1465844458491195397")</f>
        <v>https://twitter.com/eramaas/status/1465844458491195397</v>
      </c>
      <c r="AA187" s="90"/>
      <c r="AB187" s="90"/>
      <c r="AC187" s="97" t="s">
        <v>1053</v>
      </c>
      <c r="AD187" s="90"/>
      <c r="AE187" s="90" t="b">
        <v>0</v>
      </c>
      <c r="AF187" s="90">
        <v>0</v>
      </c>
      <c r="AG187" s="97" t="s">
        <v>1338</v>
      </c>
      <c r="AH187" s="90" t="b">
        <v>0</v>
      </c>
      <c r="AI187" s="90" t="s">
        <v>1442</v>
      </c>
      <c r="AJ187" s="90"/>
      <c r="AK187" s="97" t="s">
        <v>1338</v>
      </c>
      <c r="AL187" s="90" t="b">
        <v>0</v>
      </c>
      <c r="AM187" s="90">
        <v>1</v>
      </c>
      <c r="AN187" s="97" t="s">
        <v>1052</v>
      </c>
      <c r="AO187" s="97" t="s">
        <v>1452</v>
      </c>
      <c r="AP187" s="90" t="b">
        <v>0</v>
      </c>
      <c r="AQ187" s="97" t="s">
        <v>1052</v>
      </c>
      <c r="AR187" s="90" t="s">
        <v>187</v>
      </c>
      <c r="AS187" s="90">
        <v>0</v>
      </c>
      <c r="AT187" s="90">
        <v>0</v>
      </c>
      <c r="AU187" s="90"/>
      <c r="AV187" s="90"/>
      <c r="AW187" s="90"/>
      <c r="AX187" s="90"/>
      <c r="AY187" s="90"/>
      <c r="AZ187" s="90"/>
      <c r="BA187" s="90"/>
      <c r="BB187" s="90"/>
      <c r="BC187">
        <v>1</v>
      </c>
      <c r="BD187" s="89" t="str">
        <f>REPLACE(INDEX(GroupVertices[Group],MATCH(Edges[[#This Row],[Vertex 1]],GroupVertices[Vertex],0)),1,1,"")</f>
        <v>4</v>
      </c>
      <c r="BE187" s="89" t="str">
        <f>REPLACE(INDEX(GroupVertices[Group],MATCH(Edges[[#This Row],[Vertex 2]],GroupVertices[Vertex],0)),1,1,"")</f>
        <v>4</v>
      </c>
      <c r="BF187" s="49"/>
      <c r="BG187" s="50"/>
      <c r="BH187" s="49"/>
      <c r="BI187" s="50"/>
      <c r="BJ187" s="49"/>
      <c r="BK187" s="50"/>
      <c r="BL187" s="49"/>
      <c r="BM187" s="50"/>
      <c r="BN187" s="49"/>
    </row>
    <row r="188" spans="1:66" ht="15">
      <c r="A188" s="65" t="s">
        <v>288</v>
      </c>
      <c r="B188" s="65" t="s">
        <v>445</v>
      </c>
      <c r="C188" s="66" t="s">
        <v>5817</v>
      </c>
      <c r="D188" s="67">
        <v>1</v>
      </c>
      <c r="E188" s="68" t="s">
        <v>132</v>
      </c>
      <c r="F188" s="69">
        <v>32</v>
      </c>
      <c r="G188" s="66" t="s">
        <v>51</v>
      </c>
      <c r="H188" s="70"/>
      <c r="I188" s="71"/>
      <c r="J188" s="71"/>
      <c r="K188" s="35" t="s">
        <v>65</v>
      </c>
      <c r="L188" s="79">
        <v>188</v>
      </c>
      <c r="M188" s="79"/>
      <c r="N188" s="73"/>
      <c r="O188" s="90" t="s">
        <v>524</v>
      </c>
      <c r="P188" s="93">
        <v>44531.03138888889</v>
      </c>
      <c r="Q188" s="90" t="s">
        <v>585</v>
      </c>
      <c r="R188" s="90"/>
      <c r="S188" s="90"/>
      <c r="T188" s="90"/>
      <c r="U188" s="90"/>
      <c r="V188" s="96" t="str">
        <f>HYPERLINK("https://abs.twimg.com/sticky/default_profile_images/default_profile_normal.png")</f>
        <v>https://abs.twimg.com/sticky/default_profile_images/default_profile_normal.png</v>
      </c>
      <c r="W188" s="93">
        <v>44531.03138888889</v>
      </c>
      <c r="X188" s="100">
        <v>44531</v>
      </c>
      <c r="Y188" s="97" t="s">
        <v>800</v>
      </c>
      <c r="Z188" s="96" t="str">
        <f>HYPERLINK("https://twitter.com/eramaas/status/1465844396386131971")</f>
        <v>https://twitter.com/eramaas/status/1465844396386131971</v>
      </c>
      <c r="AA188" s="90"/>
      <c r="AB188" s="90"/>
      <c r="AC188" s="97" t="s">
        <v>1052</v>
      </c>
      <c r="AD188" s="97" t="s">
        <v>1261</v>
      </c>
      <c r="AE188" s="90" t="b">
        <v>0</v>
      </c>
      <c r="AF188" s="90">
        <v>2</v>
      </c>
      <c r="AG188" s="97" t="s">
        <v>1378</v>
      </c>
      <c r="AH188" s="90" t="b">
        <v>0</v>
      </c>
      <c r="AI188" s="90" t="s">
        <v>1442</v>
      </c>
      <c r="AJ188" s="90"/>
      <c r="AK188" s="97" t="s">
        <v>1338</v>
      </c>
      <c r="AL188" s="90" t="b">
        <v>0</v>
      </c>
      <c r="AM188" s="90">
        <v>1</v>
      </c>
      <c r="AN188" s="97" t="s">
        <v>1338</v>
      </c>
      <c r="AO188" s="97" t="s">
        <v>1452</v>
      </c>
      <c r="AP188" s="90" t="b">
        <v>0</v>
      </c>
      <c r="AQ188" s="97" t="s">
        <v>1261</v>
      </c>
      <c r="AR188" s="90" t="s">
        <v>187</v>
      </c>
      <c r="AS188" s="90">
        <v>0</v>
      </c>
      <c r="AT188" s="90">
        <v>0</v>
      </c>
      <c r="AU188" s="90"/>
      <c r="AV188" s="90"/>
      <c r="AW188" s="90"/>
      <c r="AX188" s="90"/>
      <c r="AY188" s="90"/>
      <c r="AZ188" s="90"/>
      <c r="BA188" s="90"/>
      <c r="BB188" s="90"/>
      <c r="BC188">
        <v>1</v>
      </c>
      <c r="BD188" s="89" t="str">
        <f>REPLACE(INDEX(GroupVertices[Group],MATCH(Edges[[#This Row],[Vertex 1]],GroupVertices[Vertex],0)),1,1,"")</f>
        <v>4</v>
      </c>
      <c r="BE188" s="89" t="str">
        <f>REPLACE(INDEX(GroupVertices[Group],MATCH(Edges[[#This Row],[Vertex 2]],GroupVertices[Vertex],0)),1,1,"")</f>
        <v>4</v>
      </c>
      <c r="BF188" s="49"/>
      <c r="BG188" s="50"/>
      <c r="BH188" s="49"/>
      <c r="BI188" s="50"/>
      <c r="BJ188" s="49"/>
      <c r="BK188" s="50"/>
      <c r="BL188" s="49"/>
      <c r="BM188" s="50"/>
      <c r="BN188" s="49"/>
    </row>
    <row r="189" spans="1:66" ht="15">
      <c r="A189" s="65" t="s">
        <v>288</v>
      </c>
      <c r="B189" s="65" t="s">
        <v>445</v>
      </c>
      <c r="C189" s="66" t="s">
        <v>5817</v>
      </c>
      <c r="D189" s="67">
        <v>1</v>
      </c>
      <c r="E189" s="68" t="s">
        <v>132</v>
      </c>
      <c r="F189" s="69">
        <v>32</v>
      </c>
      <c r="G189" s="66" t="s">
        <v>51</v>
      </c>
      <c r="H189" s="70"/>
      <c r="I189" s="71"/>
      <c r="J189" s="71"/>
      <c r="K189" s="35" t="s">
        <v>65</v>
      </c>
      <c r="L189" s="79">
        <v>189</v>
      </c>
      <c r="M189" s="79"/>
      <c r="N189" s="73"/>
      <c r="O189" s="90" t="s">
        <v>525</v>
      </c>
      <c r="P189" s="93">
        <v>44531.0315625</v>
      </c>
      <c r="Q189" s="90" t="s">
        <v>585</v>
      </c>
      <c r="R189" s="90"/>
      <c r="S189" s="90"/>
      <c r="T189" s="90"/>
      <c r="U189" s="90"/>
      <c r="V189" s="96" t="str">
        <f>HYPERLINK("https://abs.twimg.com/sticky/default_profile_images/default_profile_normal.png")</f>
        <v>https://abs.twimg.com/sticky/default_profile_images/default_profile_normal.png</v>
      </c>
      <c r="W189" s="93">
        <v>44531.0315625</v>
      </c>
      <c r="X189" s="100">
        <v>44531</v>
      </c>
      <c r="Y189" s="97" t="s">
        <v>801</v>
      </c>
      <c r="Z189" s="96" t="str">
        <f>HYPERLINK("https://twitter.com/eramaas/status/1465844458491195397")</f>
        <v>https://twitter.com/eramaas/status/1465844458491195397</v>
      </c>
      <c r="AA189" s="90"/>
      <c r="AB189" s="90"/>
      <c r="AC189" s="97" t="s">
        <v>1053</v>
      </c>
      <c r="AD189" s="90"/>
      <c r="AE189" s="90" t="b">
        <v>0</v>
      </c>
      <c r="AF189" s="90">
        <v>0</v>
      </c>
      <c r="AG189" s="97" t="s">
        <v>1338</v>
      </c>
      <c r="AH189" s="90" t="b">
        <v>0</v>
      </c>
      <c r="AI189" s="90" t="s">
        <v>1442</v>
      </c>
      <c r="AJ189" s="90"/>
      <c r="AK189" s="97" t="s">
        <v>1338</v>
      </c>
      <c r="AL189" s="90" t="b">
        <v>0</v>
      </c>
      <c r="AM189" s="90">
        <v>1</v>
      </c>
      <c r="AN189" s="97" t="s">
        <v>1052</v>
      </c>
      <c r="AO189" s="97" t="s">
        <v>1452</v>
      </c>
      <c r="AP189" s="90" t="b">
        <v>0</v>
      </c>
      <c r="AQ189" s="97" t="s">
        <v>1052</v>
      </c>
      <c r="AR189" s="90" t="s">
        <v>187</v>
      </c>
      <c r="AS189" s="90">
        <v>0</v>
      </c>
      <c r="AT189" s="90">
        <v>0</v>
      </c>
      <c r="AU189" s="90"/>
      <c r="AV189" s="90"/>
      <c r="AW189" s="90"/>
      <c r="AX189" s="90"/>
      <c r="AY189" s="90"/>
      <c r="AZ189" s="90"/>
      <c r="BA189" s="90"/>
      <c r="BB189" s="90"/>
      <c r="BC189">
        <v>1</v>
      </c>
      <c r="BD189" s="89" t="str">
        <f>REPLACE(INDEX(GroupVertices[Group],MATCH(Edges[[#This Row],[Vertex 1]],GroupVertices[Vertex],0)),1,1,"")</f>
        <v>4</v>
      </c>
      <c r="BE189" s="89" t="str">
        <f>REPLACE(INDEX(GroupVertices[Group],MATCH(Edges[[#This Row],[Vertex 2]],GroupVertices[Vertex],0)),1,1,"")</f>
        <v>4</v>
      </c>
      <c r="BF189" s="49"/>
      <c r="BG189" s="50"/>
      <c r="BH189" s="49"/>
      <c r="BI189" s="50"/>
      <c r="BJ189" s="49"/>
      <c r="BK189" s="50"/>
      <c r="BL189" s="49"/>
      <c r="BM189" s="50"/>
      <c r="BN189" s="49"/>
    </row>
    <row r="190" spans="1:66" ht="15">
      <c r="A190" s="65" t="s">
        <v>288</v>
      </c>
      <c r="B190" s="65" t="s">
        <v>446</v>
      </c>
      <c r="C190" s="66" t="s">
        <v>5817</v>
      </c>
      <c r="D190" s="67">
        <v>1</v>
      </c>
      <c r="E190" s="68" t="s">
        <v>132</v>
      </c>
      <c r="F190" s="69">
        <v>32</v>
      </c>
      <c r="G190" s="66" t="s">
        <v>51</v>
      </c>
      <c r="H190" s="70"/>
      <c r="I190" s="71"/>
      <c r="J190" s="71"/>
      <c r="K190" s="35" t="s">
        <v>65</v>
      </c>
      <c r="L190" s="79">
        <v>190</v>
      </c>
      <c r="M190" s="79"/>
      <c r="N190" s="73"/>
      <c r="O190" s="90" t="s">
        <v>524</v>
      </c>
      <c r="P190" s="93">
        <v>44531.03138888889</v>
      </c>
      <c r="Q190" s="90" t="s">
        <v>585</v>
      </c>
      <c r="R190" s="90"/>
      <c r="S190" s="90"/>
      <c r="T190" s="90"/>
      <c r="U190" s="90"/>
      <c r="V190" s="96" t="str">
        <f>HYPERLINK("https://abs.twimg.com/sticky/default_profile_images/default_profile_normal.png")</f>
        <v>https://abs.twimg.com/sticky/default_profile_images/default_profile_normal.png</v>
      </c>
      <c r="W190" s="93">
        <v>44531.03138888889</v>
      </c>
      <c r="X190" s="100">
        <v>44531</v>
      </c>
      <c r="Y190" s="97" t="s">
        <v>800</v>
      </c>
      <c r="Z190" s="96" t="str">
        <f>HYPERLINK("https://twitter.com/eramaas/status/1465844396386131971")</f>
        <v>https://twitter.com/eramaas/status/1465844396386131971</v>
      </c>
      <c r="AA190" s="90"/>
      <c r="AB190" s="90"/>
      <c r="AC190" s="97" t="s">
        <v>1052</v>
      </c>
      <c r="AD190" s="97" t="s">
        <v>1261</v>
      </c>
      <c r="AE190" s="90" t="b">
        <v>0</v>
      </c>
      <c r="AF190" s="90">
        <v>2</v>
      </c>
      <c r="AG190" s="97" t="s">
        <v>1378</v>
      </c>
      <c r="AH190" s="90" t="b">
        <v>0</v>
      </c>
      <c r="AI190" s="90" t="s">
        <v>1442</v>
      </c>
      <c r="AJ190" s="90"/>
      <c r="AK190" s="97" t="s">
        <v>1338</v>
      </c>
      <c r="AL190" s="90" t="b">
        <v>0</v>
      </c>
      <c r="AM190" s="90">
        <v>1</v>
      </c>
      <c r="AN190" s="97" t="s">
        <v>1338</v>
      </c>
      <c r="AO190" s="97" t="s">
        <v>1452</v>
      </c>
      <c r="AP190" s="90" t="b">
        <v>0</v>
      </c>
      <c r="AQ190" s="97" t="s">
        <v>1261</v>
      </c>
      <c r="AR190" s="90" t="s">
        <v>187</v>
      </c>
      <c r="AS190" s="90">
        <v>0</v>
      </c>
      <c r="AT190" s="90">
        <v>0</v>
      </c>
      <c r="AU190" s="90"/>
      <c r="AV190" s="90"/>
      <c r="AW190" s="90"/>
      <c r="AX190" s="90"/>
      <c r="AY190" s="90"/>
      <c r="AZ190" s="90"/>
      <c r="BA190" s="90"/>
      <c r="BB190" s="90"/>
      <c r="BC190">
        <v>1</v>
      </c>
      <c r="BD190" s="89" t="str">
        <f>REPLACE(INDEX(GroupVertices[Group],MATCH(Edges[[#This Row],[Vertex 1]],GroupVertices[Vertex],0)),1,1,"")</f>
        <v>4</v>
      </c>
      <c r="BE190" s="89" t="str">
        <f>REPLACE(INDEX(GroupVertices[Group],MATCH(Edges[[#This Row],[Vertex 2]],GroupVertices[Vertex],0)),1,1,"")</f>
        <v>4</v>
      </c>
      <c r="BF190" s="49"/>
      <c r="BG190" s="50"/>
      <c r="BH190" s="49"/>
      <c r="BI190" s="50"/>
      <c r="BJ190" s="49"/>
      <c r="BK190" s="50"/>
      <c r="BL190" s="49"/>
      <c r="BM190" s="50"/>
      <c r="BN190" s="49"/>
    </row>
    <row r="191" spans="1:66" ht="15">
      <c r="A191" s="65" t="s">
        <v>288</v>
      </c>
      <c r="B191" s="65" t="s">
        <v>446</v>
      </c>
      <c r="C191" s="66" t="s">
        <v>5817</v>
      </c>
      <c r="D191" s="67">
        <v>1</v>
      </c>
      <c r="E191" s="68" t="s">
        <v>132</v>
      </c>
      <c r="F191" s="69">
        <v>32</v>
      </c>
      <c r="G191" s="66" t="s">
        <v>51</v>
      </c>
      <c r="H191" s="70"/>
      <c r="I191" s="71"/>
      <c r="J191" s="71"/>
      <c r="K191" s="35" t="s">
        <v>65</v>
      </c>
      <c r="L191" s="79">
        <v>191</v>
      </c>
      <c r="M191" s="79"/>
      <c r="N191" s="73"/>
      <c r="O191" s="90" t="s">
        <v>525</v>
      </c>
      <c r="P191" s="93">
        <v>44531.0315625</v>
      </c>
      <c r="Q191" s="90" t="s">
        <v>585</v>
      </c>
      <c r="R191" s="90"/>
      <c r="S191" s="90"/>
      <c r="T191" s="90"/>
      <c r="U191" s="90"/>
      <c r="V191" s="96" t="str">
        <f>HYPERLINK("https://abs.twimg.com/sticky/default_profile_images/default_profile_normal.png")</f>
        <v>https://abs.twimg.com/sticky/default_profile_images/default_profile_normal.png</v>
      </c>
      <c r="W191" s="93">
        <v>44531.0315625</v>
      </c>
      <c r="X191" s="100">
        <v>44531</v>
      </c>
      <c r="Y191" s="97" t="s">
        <v>801</v>
      </c>
      <c r="Z191" s="96" t="str">
        <f>HYPERLINK("https://twitter.com/eramaas/status/1465844458491195397")</f>
        <v>https://twitter.com/eramaas/status/1465844458491195397</v>
      </c>
      <c r="AA191" s="90"/>
      <c r="AB191" s="90"/>
      <c r="AC191" s="97" t="s">
        <v>1053</v>
      </c>
      <c r="AD191" s="90"/>
      <c r="AE191" s="90" t="b">
        <v>0</v>
      </c>
      <c r="AF191" s="90">
        <v>0</v>
      </c>
      <c r="AG191" s="97" t="s">
        <v>1338</v>
      </c>
      <c r="AH191" s="90" t="b">
        <v>0</v>
      </c>
      <c r="AI191" s="90" t="s">
        <v>1442</v>
      </c>
      <c r="AJ191" s="90"/>
      <c r="AK191" s="97" t="s">
        <v>1338</v>
      </c>
      <c r="AL191" s="90" t="b">
        <v>0</v>
      </c>
      <c r="AM191" s="90">
        <v>1</v>
      </c>
      <c r="AN191" s="97" t="s">
        <v>1052</v>
      </c>
      <c r="AO191" s="97" t="s">
        <v>1452</v>
      </c>
      <c r="AP191" s="90" t="b">
        <v>0</v>
      </c>
      <c r="AQ191" s="97" t="s">
        <v>1052</v>
      </c>
      <c r="AR191" s="90" t="s">
        <v>187</v>
      </c>
      <c r="AS191" s="90">
        <v>0</v>
      </c>
      <c r="AT191" s="90">
        <v>0</v>
      </c>
      <c r="AU191" s="90"/>
      <c r="AV191" s="90"/>
      <c r="AW191" s="90"/>
      <c r="AX191" s="90"/>
      <c r="AY191" s="90"/>
      <c r="AZ191" s="90"/>
      <c r="BA191" s="90"/>
      <c r="BB191" s="90"/>
      <c r="BC191">
        <v>1</v>
      </c>
      <c r="BD191" s="89" t="str">
        <f>REPLACE(INDEX(GroupVertices[Group],MATCH(Edges[[#This Row],[Vertex 1]],GroupVertices[Vertex],0)),1,1,"")</f>
        <v>4</v>
      </c>
      <c r="BE191" s="89" t="str">
        <f>REPLACE(INDEX(GroupVertices[Group],MATCH(Edges[[#This Row],[Vertex 2]],GroupVertices[Vertex],0)),1,1,"")</f>
        <v>4</v>
      </c>
      <c r="BF191" s="49"/>
      <c r="BG191" s="50"/>
      <c r="BH191" s="49"/>
      <c r="BI191" s="50"/>
      <c r="BJ191" s="49"/>
      <c r="BK191" s="50"/>
      <c r="BL191" s="49"/>
      <c r="BM191" s="50"/>
      <c r="BN191" s="49"/>
    </row>
    <row r="192" spans="1:66" ht="15">
      <c r="A192" s="65" t="s">
        <v>289</v>
      </c>
      <c r="B192" s="65" t="s">
        <v>447</v>
      </c>
      <c r="C192" s="66" t="s">
        <v>5817</v>
      </c>
      <c r="D192" s="67">
        <v>1</v>
      </c>
      <c r="E192" s="68" t="s">
        <v>132</v>
      </c>
      <c r="F192" s="69">
        <v>32</v>
      </c>
      <c r="G192" s="66" t="s">
        <v>51</v>
      </c>
      <c r="H192" s="70"/>
      <c r="I192" s="71"/>
      <c r="J192" s="71"/>
      <c r="K192" s="35" t="s">
        <v>65</v>
      </c>
      <c r="L192" s="79">
        <v>192</v>
      </c>
      <c r="M192" s="79"/>
      <c r="N192" s="73"/>
      <c r="O192" s="90" t="s">
        <v>525</v>
      </c>
      <c r="P192" s="93">
        <v>44526.353993055556</v>
      </c>
      <c r="Q192" s="90" t="s">
        <v>586</v>
      </c>
      <c r="R192" s="90"/>
      <c r="S192" s="90"/>
      <c r="T192" s="90"/>
      <c r="U192" s="90"/>
      <c r="V192" s="96" t="str">
        <f>HYPERLINK("https://pbs.twimg.com/profile_images/1396501849671352330/WOhJsvLC_normal.jpg")</f>
        <v>https://pbs.twimg.com/profile_images/1396501849671352330/WOhJsvLC_normal.jpg</v>
      </c>
      <c r="W192" s="93">
        <v>44526.353993055556</v>
      </c>
      <c r="X192" s="100">
        <v>44526</v>
      </c>
      <c r="Y192" s="97" t="s">
        <v>802</v>
      </c>
      <c r="Z192" s="96" t="str">
        <f>HYPERLINK("https://twitter.com/huuhtanenpanu/status/1464149364293742596")</f>
        <v>https://twitter.com/huuhtanenpanu/status/1464149364293742596</v>
      </c>
      <c r="AA192" s="90"/>
      <c r="AB192" s="90"/>
      <c r="AC192" s="97" t="s">
        <v>1054</v>
      </c>
      <c r="AD192" s="90"/>
      <c r="AE192" s="90" t="b">
        <v>0</v>
      </c>
      <c r="AF192" s="90">
        <v>0</v>
      </c>
      <c r="AG192" s="97" t="s">
        <v>1338</v>
      </c>
      <c r="AH192" s="90" t="b">
        <v>0</v>
      </c>
      <c r="AI192" s="90" t="s">
        <v>1442</v>
      </c>
      <c r="AJ192" s="90"/>
      <c r="AK192" s="97" t="s">
        <v>1338</v>
      </c>
      <c r="AL192" s="90" t="b">
        <v>0</v>
      </c>
      <c r="AM192" s="90">
        <v>3</v>
      </c>
      <c r="AN192" s="97" t="s">
        <v>1188</v>
      </c>
      <c r="AO192" s="97" t="s">
        <v>1450</v>
      </c>
      <c r="AP192" s="90" t="b">
        <v>0</v>
      </c>
      <c r="AQ192" s="97" t="s">
        <v>1188</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3</v>
      </c>
      <c r="BE192" s="89" t="str">
        <f>REPLACE(INDEX(GroupVertices[Group],MATCH(Edges[[#This Row],[Vertex 2]],GroupVertices[Vertex],0)),1,1,"")</f>
        <v>3</v>
      </c>
      <c r="BF192" s="49"/>
      <c r="BG192" s="50"/>
      <c r="BH192" s="49"/>
      <c r="BI192" s="50"/>
      <c r="BJ192" s="49"/>
      <c r="BK192" s="50"/>
      <c r="BL192" s="49"/>
      <c r="BM192" s="50"/>
      <c r="BN192" s="49"/>
    </row>
    <row r="193" spans="1:66" ht="15">
      <c r="A193" s="65" t="s">
        <v>289</v>
      </c>
      <c r="B193" s="65" t="s">
        <v>448</v>
      </c>
      <c r="C193" s="66" t="s">
        <v>5817</v>
      </c>
      <c r="D193" s="67">
        <v>1</v>
      </c>
      <c r="E193" s="68" t="s">
        <v>132</v>
      </c>
      <c r="F193" s="69">
        <v>32</v>
      </c>
      <c r="G193" s="66" t="s">
        <v>51</v>
      </c>
      <c r="H193" s="70"/>
      <c r="I193" s="71"/>
      <c r="J193" s="71"/>
      <c r="K193" s="35" t="s">
        <v>65</v>
      </c>
      <c r="L193" s="79">
        <v>193</v>
      </c>
      <c r="M193" s="79"/>
      <c r="N193" s="73"/>
      <c r="O193" s="90" t="s">
        <v>525</v>
      </c>
      <c r="P193" s="93">
        <v>44526.353993055556</v>
      </c>
      <c r="Q193" s="90" t="s">
        <v>586</v>
      </c>
      <c r="R193" s="90"/>
      <c r="S193" s="90"/>
      <c r="T193" s="90"/>
      <c r="U193" s="90"/>
      <c r="V193" s="96" t="str">
        <f>HYPERLINK("https://pbs.twimg.com/profile_images/1396501849671352330/WOhJsvLC_normal.jpg")</f>
        <v>https://pbs.twimg.com/profile_images/1396501849671352330/WOhJsvLC_normal.jpg</v>
      </c>
      <c r="W193" s="93">
        <v>44526.353993055556</v>
      </c>
      <c r="X193" s="100">
        <v>44526</v>
      </c>
      <c r="Y193" s="97" t="s">
        <v>802</v>
      </c>
      <c r="Z193" s="96" t="str">
        <f>HYPERLINK("https://twitter.com/huuhtanenpanu/status/1464149364293742596")</f>
        <v>https://twitter.com/huuhtanenpanu/status/1464149364293742596</v>
      </c>
      <c r="AA193" s="90"/>
      <c r="AB193" s="90"/>
      <c r="AC193" s="97" t="s">
        <v>1054</v>
      </c>
      <c r="AD193" s="90"/>
      <c r="AE193" s="90" t="b">
        <v>0</v>
      </c>
      <c r="AF193" s="90">
        <v>0</v>
      </c>
      <c r="AG193" s="97" t="s">
        <v>1338</v>
      </c>
      <c r="AH193" s="90" t="b">
        <v>0</v>
      </c>
      <c r="AI193" s="90" t="s">
        <v>1442</v>
      </c>
      <c r="AJ193" s="90"/>
      <c r="AK193" s="97" t="s">
        <v>1338</v>
      </c>
      <c r="AL193" s="90" t="b">
        <v>0</v>
      </c>
      <c r="AM193" s="90">
        <v>3</v>
      </c>
      <c r="AN193" s="97" t="s">
        <v>1188</v>
      </c>
      <c r="AO193" s="97" t="s">
        <v>1450</v>
      </c>
      <c r="AP193" s="90" t="b">
        <v>0</v>
      </c>
      <c r="AQ193" s="97" t="s">
        <v>1188</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3</v>
      </c>
      <c r="BF193" s="49"/>
      <c r="BG193" s="50"/>
      <c r="BH193" s="49"/>
      <c r="BI193" s="50"/>
      <c r="BJ193" s="49"/>
      <c r="BK193" s="50"/>
      <c r="BL193" s="49"/>
      <c r="BM193" s="50"/>
      <c r="BN193" s="49"/>
    </row>
    <row r="194" spans="1:66" ht="15">
      <c r="A194" s="65" t="s">
        <v>289</v>
      </c>
      <c r="B194" s="65" t="s">
        <v>449</v>
      </c>
      <c r="C194" s="66" t="s">
        <v>5817</v>
      </c>
      <c r="D194" s="67">
        <v>1</v>
      </c>
      <c r="E194" s="68" t="s">
        <v>132</v>
      </c>
      <c r="F194" s="69">
        <v>32</v>
      </c>
      <c r="G194" s="66" t="s">
        <v>51</v>
      </c>
      <c r="H194" s="70"/>
      <c r="I194" s="71"/>
      <c r="J194" s="71"/>
      <c r="K194" s="35" t="s">
        <v>65</v>
      </c>
      <c r="L194" s="79">
        <v>194</v>
      </c>
      <c r="M194" s="79"/>
      <c r="N194" s="73"/>
      <c r="O194" s="90" t="s">
        <v>525</v>
      </c>
      <c r="P194" s="93">
        <v>44526.353993055556</v>
      </c>
      <c r="Q194" s="90" t="s">
        <v>586</v>
      </c>
      <c r="R194" s="90"/>
      <c r="S194" s="90"/>
      <c r="T194" s="90"/>
      <c r="U194" s="90"/>
      <c r="V194" s="96" t="str">
        <f>HYPERLINK("https://pbs.twimg.com/profile_images/1396501849671352330/WOhJsvLC_normal.jpg")</f>
        <v>https://pbs.twimg.com/profile_images/1396501849671352330/WOhJsvLC_normal.jpg</v>
      </c>
      <c r="W194" s="93">
        <v>44526.353993055556</v>
      </c>
      <c r="X194" s="100">
        <v>44526</v>
      </c>
      <c r="Y194" s="97" t="s">
        <v>802</v>
      </c>
      <c r="Z194" s="96" t="str">
        <f>HYPERLINK("https://twitter.com/huuhtanenpanu/status/1464149364293742596")</f>
        <v>https://twitter.com/huuhtanenpanu/status/1464149364293742596</v>
      </c>
      <c r="AA194" s="90"/>
      <c r="AB194" s="90"/>
      <c r="AC194" s="97" t="s">
        <v>1054</v>
      </c>
      <c r="AD194" s="90"/>
      <c r="AE194" s="90" t="b">
        <v>0</v>
      </c>
      <c r="AF194" s="90">
        <v>0</v>
      </c>
      <c r="AG194" s="97" t="s">
        <v>1338</v>
      </c>
      <c r="AH194" s="90" t="b">
        <v>0</v>
      </c>
      <c r="AI194" s="90" t="s">
        <v>1442</v>
      </c>
      <c r="AJ194" s="90"/>
      <c r="AK194" s="97" t="s">
        <v>1338</v>
      </c>
      <c r="AL194" s="90" t="b">
        <v>0</v>
      </c>
      <c r="AM194" s="90">
        <v>3</v>
      </c>
      <c r="AN194" s="97" t="s">
        <v>1188</v>
      </c>
      <c r="AO194" s="97" t="s">
        <v>1450</v>
      </c>
      <c r="AP194" s="90" t="b">
        <v>0</v>
      </c>
      <c r="AQ194" s="97" t="s">
        <v>1188</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3</v>
      </c>
      <c r="BE194" s="89" t="str">
        <f>REPLACE(INDEX(GroupVertices[Group],MATCH(Edges[[#This Row],[Vertex 2]],GroupVertices[Vertex],0)),1,1,"")</f>
        <v>3</v>
      </c>
      <c r="BF194" s="49"/>
      <c r="BG194" s="50"/>
      <c r="BH194" s="49"/>
      <c r="BI194" s="50"/>
      <c r="BJ194" s="49"/>
      <c r="BK194" s="50"/>
      <c r="BL194" s="49"/>
      <c r="BM194" s="50"/>
      <c r="BN194" s="49"/>
    </row>
    <row r="195" spans="1:66" ht="15">
      <c r="A195" s="65" t="s">
        <v>289</v>
      </c>
      <c r="B195" s="65" t="s">
        <v>366</v>
      </c>
      <c r="C195" s="66" t="s">
        <v>5817</v>
      </c>
      <c r="D195" s="67">
        <v>1</v>
      </c>
      <c r="E195" s="68" t="s">
        <v>132</v>
      </c>
      <c r="F195" s="69">
        <v>32</v>
      </c>
      <c r="G195" s="66" t="s">
        <v>51</v>
      </c>
      <c r="H195" s="70"/>
      <c r="I195" s="71"/>
      <c r="J195" s="71"/>
      <c r="K195" s="35" t="s">
        <v>65</v>
      </c>
      <c r="L195" s="79">
        <v>195</v>
      </c>
      <c r="M195" s="79"/>
      <c r="N195" s="73"/>
      <c r="O195" s="90" t="s">
        <v>522</v>
      </c>
      <c r="P195" s="93">
        <v>44526.353993055556</v>
      </c>
      <c r="Q195" s="90" t="s">
        <v>586</v>
      </c>
      <c r="R195" s="90"/>
      <c r="S195" s="90"/>
      <c r="T195" s="90"/>
      <c r="U195" s="90"/>
      <c r="V195" s="96" t="str">
        <f>HYPERLINK("https://pbs.twimg.com/profile_images/1396501849671352330/WOhJsvLC_normal.jpg")</f>
        <v>https://pbs.twimg.com/profile_images/1396501849671352330/WOhJsvLC_normal.jpg</v>
      </c>
      <c r="W195" s="93">
        <v>44526.353993055556</v>
      </c>
      <c r="X195" s="100">
        <v>44526</v>
      </c>
      <c r="Y195" s="97" t="s">
        <v>802</v>
      </c>
      <c r="Z195" s="96" t="str">
        <f>HYPERLINK("https://twitter.com/huuhtanenpanu/status/1464149364293742596")</f>
        <v>https://twitter.com/huuhtanenpanu/status/1464149364293742596</v>
      </c>
      <c r="AA195" s="90"/>
      <c r="AB195" s="90"/>
      <c r="AC195" s="97" t="s">
        <v>1054</v>
      </c>
      <c r="AD195" s="90"/>
      <c r="AE195" s="90" t="b">
        <v>0</v>
      </c>
      <c r="AF195" s="90">
        <v>0</v>
      </c>
      <c r="AG195" s="97" t="s">
        <v>1338</v>
      </c>
      <c r="AH195" s="90" t="b">
        <v>0</v>
      </c>
      <c r="AI195" s="90" t="s">
        <v>1442</v>
      </c>
      <c r="AJ195" s="90"/>
      <c r="AK195" s="97" t="s">
        <v>1338</v>
      </c>
      <c r="AL195" s="90" t="b">
        <v>0</v>
      </c>
      <c r="AM195" s="90">
        <v>3</v>
      </c>
      <c r="AN195" s="97" t="s">
        <v>1188</v>
      </c>
      <c r="AO195" s="97" t="s">
        <v>1450</v>
      </c>
      <c r="AP195" s="90" t="b">
        <v>0</v>
      </c>
      <c r="AQ195" s="97" t="s">
        <v>1188</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3</v>
      </c>
      <c r="BE195" s="89" t="str">
        <f>REPLACE(INDEX(GroupVertices[Group],MATCH(Edges[[#This Row],[Vertex 2]],GroupVertices[Vertex],0)),1,1,"")</f>
        <v>3</v>
      </c>
      <c r="BF195" s="49"/>
      <c r="BG195" s="50"/>
      <c r="BH195" s="49"/>
      <c r="BI195" s="50"/>
      <c r="BJ195" s="49"/>
      <c r="BK195" s="50"/>
      <c r="BL195" s="49"/>
      <c r="BM195" s="50"/>
      <c r="BN195" s="49"/>
    </row>
    <row r="196" spans="1:66" ht="15">
      <c r="A196" s="65" t="s">
        <v>289</v>
      </c>
      <c r="B196" s="65" t="s">
        <v>450</v>
      </c>
      <c r="C196" s="66" t="s">
        <v>5817</v>
      </c>
      <c r="D196" s="67">
        <v>1</v>
      </c>
      <c r="E196" s="68" t="s">
        <v>132</v>
      </c>
      <c r="F196" s="69">
        <v>32</v>
      </c>
      <c r="G196" s="66" t="s">
        <v>51</v>
      </c>
      <c r="H196" s="70"/>
      <c r="I196" s="71"/>
      <c r="J196" s="71"/>
      <c r="K196" s="35" t="s">
        <v>65</v>
      </c>
      <c r="L196" s="79">
        <v>196</v>
      </c>
      <c r="M196" s="79"/>
      <c r="N196" s="73"/>
      <c r="O196" s="90" t="s">
        <v>523</v>
      </c>
      <c r="P196" s="93">
        <v>44526.353993055556</v>
      </c>
      <c r="Q196" s="90" t="s">
        <v>586</v>
      </c>
      <c r="R196" s="90"/>
      <c r="S196" s="90"/>
      <c r="T196" s="90"/>
      <c r="U196" s="90"/>
      <c r="V196" s="96" t="str">
        <f>HYPERLINK("https://pbs.twimg.com/profile_images/1396501849671352330/WOhJsvLC_normal.jpg")</f>
        <v>https://pbs.twimg.com/profile_images/1396501849671352330/WOhJsvLC_normal.jpg</v>
      </c>
      <c r="W196" s="93">
        <v>44526.353993055556</v>
      </c>
      <c r="X196" s="100">
        <v>44526</v>
      </c>
      <c r="Y196" s="97" t="s">
        <v>802</v>
      </c>
      <c r="Z196" s="96" t="str">
        <f>HYPERLINK("https://twitter.com/huuhtanenpanu/status/1464149364293742596")</f>
        <v>https://twitter.com/huuhtanenpanu/status/1464149364293742596</v>
      </c>
      <c r="AA196" s="90"/>
      <c r="AB196" s="90"/>
      <c r="AC196" s="97" t="s">
        <v>1054</v>
      </c>
      <c r="AD196" s="90"/>
      <c r="AE196" s="90" t="b">
        <v>0</v>
      </c>
      <c r="AF196" s="90">
        <v>0</v>
      </c>
      <c r="AG196" s="97" t="s">
        <v>1338</v>
      </c>
      <c r="AH196" s="90" t="b">
        <v>0</v>
      </c>
      <c r="AI196" s="90" t="s">
        <v>1442</v>
      </c>
      <c r="AJ196" s="90"/>
      <c r="AK196" s="97" t="s">
        <v>1338</v>
      </c>
      <c r="AL196" s="90" t="b">
        <v>0</v>
      </c>
      <c r="AM196" s="90">
        <v>3</v>
      </c>
      <c r="AN196" s="97" t="s">
        <v>1188</v>
      </c>
      <c r="AO196" s="97" t="s">
        <v>1450</v>
      </c>
      <c r="AP196" s="90" t="b">
        <v>0</v>
      </c>
      <c r="AQ196" s="97" t="s">
        <v>1188</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3</v>
      </c>
      <c r="BE196" s="89" t="str">
        <f>REPLACE(INDEX(GroupVertices[Group],MATCH(Edges[[#This Row],[Vertex 2]],GroupVertices[Vertex],0)),1,1,"")</f>
        <v>3</v>
      </c>
      <c r="BF196" s="49">
        <v>0</v>
      </c>
      <c r="BG196" s="50">
        <v>0</v>
      </c>
      <c r="BH196" s="49">
        <v>1</v>
      </c>
      <c r="BI196" s="50">
        <v>3.7037037037037037</v>
      </c>
      <c r="BJ196" s="49">
        <v>0</v>
      </c>
      <c r="BK196" s="50">
        <v>0</v>
      </c>
      <c r="BL196" s="49">
        <v>26</v>
      </c>
      <c r="BM196" s="50">
        <v>96.29629629629629</v>
      </c>
      <c r="BN196" s="49">
        <v>27</v>
      </c>
    </row>
    <row r="197" spans="1:66" ht="15">
      <c r="A197" s="65" t="s">
        <v>288</v>
      </c>
      <c r="B197" s="65" t="s">
        <v>289</v>
      </c>
      <c r="C197" s="66" t="s">
        <v>5817</v>
      </c>
      <c r="D197" s="67">
        <v>1</v>
      </c>
      <c r="E197" s="68" t="s">
        <v>132</v>
      </c>
      <c r="F197" s="69">
        <v>32</v>
      </c>
      <c r="G197" s="66" t="s">
        <v>51</v>
      </c>
      <c r="H197" s="70"/>
      <c r="I197" s="71"/>
      <c r="J197" s="71"/>
      <c r="K197" s="35" t="s">
        <v>65</v>
      </c>
      <c r="L197" s="79">
        <v>197</v>
      </c>
      <c r="M197" s="79"/>
      <c r="N197" s="73"/>
      <c r="O197" s="90" t="s">
        <v>524</v>
      </c>
      <c r="P197" s="93">
        <v>44531.03138888889</v>
      </c>
      <c r="Q197" s="90" t="s">
        <v>585</v>
      </c>
      <c r="R197" s="90"/>
      <c r="S197" s="90"/>
      <c r="T197" s="90"/>
      <c r="U197" s="90"/>
      <c r="V197" s="96" t="str">
        <f>HYPERLINK("https://abs.twimg.com/sticky/default_profile_images/default_profile_normal.png")</f>
        <v>https://abs.twimg.com/sticky/default_profile_images/default_profile_normal.png</v>
      </c>
      <c r="W197" s="93">
        <v>44531.03138888889</v>
      </c>
      <c r="X197" s="100">
        <v>44531</v>
      </c>
      <c r="Y197" s="97" t="s">
        <v>800</v>
      </c>
      <c r="Z197" s="96" t="str">
        <f>HYPERLINK("https://twitter.com/eramaas/status/1465844396386131971")</f>
        <v>https://twitter.com/eramaas/status/1465844396386131971</v>
      </c>
      <c r="AA197" s="90"/>
      <c r="AB197" s="90"/>
      <c r="AC197" s="97" t="s">
        <v>1052</v>
      </c>
      <c r="AD197" s="97" t="s">
        <v>1261</v>
      </c>
      <c r="AE197" s="90" t="b">
        <v>0</v>
      </c>
      <c r="AF197" s="90">
        <v>2</v>
      </c>
      <c r="AG197" s="97" t="s">
        <v>1378</v>
      </c>
      <c r="AH197" s="90" t="b">
        <v>0</v>
      </c>
      <c r="AI197" s="90" t="s">
        <v>1442</v>
      </c>
      <c r="AJ197" s="90"/>
      <c r="AK197" s="97" t="s">
        <v>1338</v>
      </c>
      <c r="AL197" s="90" t="b">
        <v>0</v>
      </c>
      <c r="AM197" s="90">
        <v>1</v>
      </c>
      <c r="AN197" s="97" t="s">
        <v>1338</v>
      </c>
      <c r="AO197" s="97" t="s">
        <v>1452</v>
      </c>
      <c r="AP197" s="90" t="b">
        <v>0</v>
      </c>
      <c r="AQ197" s="97" t="s">
        <v>1261</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4</v>
      </c>
      <c r="BE197" s="89" t="str">
        <f>REPLACE(INDEX(GroupVertices[Group],MATCH(Edges[[#This Row],[Vertex 2]],GroupVertices[Vertex],0)),1,1,"")</f>
        <v>3</v>
      </c>
      <c r="BF197" s="49"/>
      <c r="BG197" s="50"/>
      <c r="BH197" s="49"/>
      <c r="BI197" s="50"/>
      <c r="BJ197" s="49"/>
      <c r="BK197" s="50"/>
      <c r="BL197" s="49"/>
      <c r="BM197" s="50"/>
      <c r="BN197" s="49"/>
    </row>
    <row r="198" spans="1:66" ht="15">
      <c r="A198" s="65" t="s">
        <v>288</v>
      </c>
      <c r="B198" s="65" t="s">
        <v>289</v>
      </c>
      <c r="C198" s="66" t="s">
        <v>5817</v>
      </c>
      <c r="D198" s="67">
        <v>1</v>
      </c>
      <c r="E198" s="68" t="s">
        <v>132</v>
      </c>
      <c r="F198" s="69">
        <v>32</v>
      </c>
      <c r="G198" s="66" t="s">
        <v>51</v>
      </c>
      <c r="H198" s="70"/>
      <c r="I198" s="71"/>
      <c r="J198" s="71"/>
      <c r="K198" s="35" t="s">
        <v>65</v>
      </c>
      <c r="L198" s="79">
        <v>198</v>
      </c>
      <c r="M198" s="79"/>
      <c r="N198" s="73"/>
      <c r="O198" s="90" t="s">
        <v>525</v>
      </c>
      <c r="P198" s="93">
        <v>44531.0315625</v>
      </c>
      <c r="Q198" s="90" t="s">
        <v>585</v>
      </c>
      <c r="R198" s="90"/>
      <c r="S198" s="90"/>
      <c r="T198" s="90"/>
      <c r="U198" s="90"/>
      <c r="V198" s="96" t="str">
        <f>HYPERLINK("https://abs.twimg.com/sticky/default_profile_images/default_profile_normal.png")</f>
        <v>https://abs.twimg.com/sticky/default_profile_images/default_profile_normal.png</v>
      </c>
      <c r="W198" s="93">
        <v>44531.0315625</v>
      </c>
      <c r="X198" s="100">
        <v>44531</v>
      </c>
      <c r="Y198" s="97" t="s">
        <v>801</v>
      </c>
      <c r="Z198" s="96" t="str">
        <f>HYPERLINK("https://twitter.com/eramaas/status/1465844458491195397")</f>
        <v>https://twitter.com/eramaas/status/1465844458491195397</v>
      </c>
      <c r="AA198" s="90"/>
      <c r="AB198" s="90"/>
      <c r="AC198" s="97" t="s">
        <v>1053</v>
      </c>
      <c r="AD198" s="90"/>
      <c r="AE198" s="90" t="b">
        <v>0</v>
      </c>
      <c r="AF198" s="90">
        <v>0</v>
      </c>
      <c r="AG198" s="97" t="s">
        <v>1338</v>
      </c>
      <c r="AH198" s="90" t="b">
        <v>0</v>
      </c>
      <c r="AI198" s="90" t="s">
        <v>1442</v>
      </c>
      <c r="AJ198" s="90"/>
      <c r="AK198" s="97" t="s">
        <v>1338</v>
      </c>
      <c r="AL198" s="90" t="b">
        <v>0</v>
      </c>
      <c r="AM198" s="90">
        <v>1</v>
      </c>
      <c r="AN198" s="97" t="s">
        <v>1052</v>
      </c>
      <c r="AO198" s="97" t="s">
        <v>1452</v>
      </c>
      <c r="AP198" s="90" t="b">
        <v>0</v>
      </c>
      <c r="AQ198" s="97" t="s">
        <v>1052</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4</v>
      </c>
      <c r="BE198" s="89" t="str">
        <f>REPLACE(INDEX(GroupVertices[Group],MATCH(Edges[[#This Row],[Vertex 2]],GroupVertices[Vertex],0)),1,1,"")</f>
        <v>3</v>
      </c>
      <c r="BF198" s="49"/>
      <c r="BG198" s="50"/>
      <c r="BH198" s="49"/>
      <c r="BI198" s="50"/>
      <c r="BJ198" s="49"/>
      <c r="BK198" s="50"/>
      <c r="BL198" s="49"/>
      <c r="BM198" s="50"/>
      <c r="BN198" s="49"/>
    </row>
    <row r="199" spans="1:66" ht="15">
      <c r="A199" s="65" t="s">
        <v>288</v>
      </c>
      <c r="B199" s="65" t="s">
        <v>451</v>
      </c>
      <c r="C199" s="66" t="s">
        <v>5818</v>
      </c>
      <c r="D199" s="67">
        <v>1</v>
      </c>
      <c r="E199" s="68" t="s">
        <v>132</v>
      </c>
      <c r="F199" s="69">
        <v>32</v>
      </c>
      <c r="G199" s="66" t="s">
        <v>51</v>
      </c>
      <c r="H199" s="70"/>
      <c r="I199" s="71"/>
      <c r="J199" s="71"/>
      <c r="K199" s="35" t="s">
        <v>65</v>
      </c>
      <c r="L199" s="79">
        <v>199</v>
      </c>
      <c r="M199" s="79"/>
      <c r="N199" s="73"/>
      <c r="O199" s="90" t="s">
        <v>523</v>
      </c>
      <c r="P199" s="93">
        <v>44531.03138888889</v>
      </c>
      <c r="Q199" s="90" t="s">
        <v>585</v>
      </c>
      <c r="R199" s="90"/>
      <c r="S199" s="90"/>
      <c r="T199" s="90"/>
      <c r="U199" s="90"/>
      <c r="V199" s="96" t="str">
        <f>HYPERLINK("https://abs.twimg.com/sticky/default_profile_images/default_profile_normal.png")</f>
        <v>https://abs.twimg.com/sticky/default_profile_images/default_profile_normal.png</v>
      </c>
      <c r="W199" s="93">
        <v>44531.03138888889</v>
      </c>
      <c r="X199" s="100">
        <v>44531</v>
      </c>
      <c r="Y199" s="97" t="s">
        <v>800</v>
      </c>
      <c r="Z199" s="96" t="str">
        <f>HYPERLINK("https://twitter.com/eramaas/status/1465844396386131971")</f>
        <v>https://twitter.com/eramaas/status/1465844396386131971</v>
      </c>
      <c r="AA199" s="90"/>
      <c r="AB199" s="90"/>
      <c r="AC199" s="97" t="s">
        <v>1052</v>
      </c>
      <c r="AD199" s="97" t="s">
        <v>1261</v>
      </c>
      <c r="AE199" s="90" t="b">
        <v>0</v>
      </c>
      <c r="AF199" s="90">
        <v>2</v>
      </c>
      <c r="AG199" s="97" t="s">
        <v>1378</v>
      </c>
      <c r="AH199" s="90" t="b">
        <v>0</v>
      </c>
      <c r="AI199" s="90" t="s">
        <v>1442</v>
      </c>
      <c r="AJ199" s="90"/>
      <c r="AK199" s="97" t="s">
        <v>1338</v>
      </c>
      <c r="AL199" s="90" t="b">
        <v>0</v>
      </c>
      <c r="AM199" s="90">
        <v>1</v>
      </c>
      <c r="AN199" s="97" t="s">
        <v>1338</v>
      </c>
      <c r="AO199" s="97" t="s">
        <v>1452</v>
      </c>
      <c r="AP199" s="90" t="b">
        <v>0</v>
      </c>
      <c r="AQ199" s="97" t="s">
        <v>1261</v>
      </c>
      <c r="AR199" s="90" t="s">
        <v>187</v>
      </c>
      <c r="AS199" s="90">
        <v>0</v>
      </c>
      <c r="AT199" s="90">
        <v>0</v>
      </c>
      <c r="AU199" s="90"/>
      <c r="AV199" s="90"/>
      <c r="AW199" s="90"/>
      <c r="AX199" s="90"/>
      <c r="AY199" s="90"/>
      <c r="AZ199" s="90"/>
      <c r="BA199" s="90"/>
      <c r="BB199" s="90"/>
      <c r="BC199">
        <v>2</v>
      </c>
      <c r="BD199" s="89" t="str">
        <f>REPLACE(INDEX(GroupVertices[Group],MATCH(Edges[[#This Row],[Vertex 1]],GroupVertices[Vertex],0)),1,1,"")</f>
        <v>4</v>
      </c>
      <c r="BE199" s="89" t="str">
        <f>REPLACE(INDEX(GroupVertices[Group],MATCH(Edges[[#This Row],[Vertex 2]],GroupVertices[Vertex],0)),1,1,"")</f>
        <v>4</v>
      </c>
      <c r="BF199" s="49"/>
      <c r="BG199" s="50"/>
      <c r="BH199" s="49"/>
      <c r="BI199" s="50"/>
      <c r="BJ199" s="49"/>
      <c r="BK199" s="50"/>
      <c r="BL199" s="49"/>
      <c r="BM199" s="50"/>
      <c r="BN199" s="49"/>
    </row>
    <row r="200" spans="1:66" ht="15">
      <c r="A200" s="65" t="s">
        <v>288</v>
      </c>
      <c r="B200" s="65" t="s">
        <v>451</v>
      </c>
      <c r="C200" s="66" t="s">
        <v>5818</v>
      </c>
      <c r="D200" s="67">
        <v>1</v>
      </c>
      <c r="E200" s="68" t="s">
        <v>132</v>
      </c>
      <c r="F200" s="69">
        <v>32</v>
      </c>
      <c r="G200" s="66" t="s">
        <v>51</v>
      </c>
      <c r="H200" s="70"/>
      <c r="I200" s="71"/>
      <c r="J200" s="71"/>
      <c r="K200" s="35" t="s">
        <v>65</v>
      </c>
      <c r="L200" s="79">
        <v>200</v>
      </c>
      <c r="M200" s="79"/>
      <c r="N200" s="73"/>
      <c r="O200" s="90" t="s">
        <v>523</v>
      </c>
      <c r="P200" s="93">
        <v>44531.0315625</v>
      </c>
      <c r="Q200" s="90" t="s">
        <v>585</v>
      </c>
      <c r="R200" s="90"/>
      <c r="S200" s="90"/>
      <c r="T200" s="90"/>
      <c r="U200" s="90"/>
      <c r="V200" s="96" t="str">
        <f>HYPERLINK("https://abs.twimg.com/sticky/default_profile_images/default_profile_normal.png")</f>
        <v>https://abs.twimg.com/sticky/default_profile_images/default_profile_normal.png</v>
      </c>
      <c r="W200" s="93">
        <v>44531.0315625</v>
      </c>
      <c r="X200" s="100">
        <v>44531</v>
      </c>
      <c r="Y200" s="97" t="s">
        <v>801</v>
      </c>
      <c r="Z200" s="96" t="str">
        <f>HYPERLINK("https://twitter.com/eramaas/status/1465844458491195397")</f>
        <v>https://twitter.com/eramaas/status/1465844458491195397</v>
      </c>
      <c r="AA200" s="90"/>
      <c r="AB200" s="90"/>
      <c r="AC200" s="97" t="s">
        <v>1053</v>
      </c>
      <c r="AD200" s="90"/>
      <c r="AE200" s="90" t="b">
        <v>0</v>
      </c>
      <c r="AF200" s="90">
        <v>0</v>
      </c>
      <c r="AG200" s="97" t="s">
        <v>1338</v>
      </c>
      <c r="AH200" s="90" t="b">
        <v>0</v>
      </c>
      <c r="AI200" s="90" t="s">
        <v>1442</v>
      </c>
      <c r="AJ200" s="90"/>
      <c r="AK200" s="97" t="s">
        <v>1338</v>
      </c>
      <c r="AL200" s="90" t="b">
        <v>0</v>
      </c>
      <c r="AM200" s="90">
        <v>1</v>
      </c>
      <c r="AN200" s="97" t="s">
        <v>1052</v>
      </c>
      <c r="AO200" s="97" t="s">
        <v>1452</v>
      </c>
      <c r="AP200" s="90" t="b">
        <v>0</v>
      </c>
      <c r="AQ200" s="97" t="s">
        <v>1052</v>
      </c>
      <c r="AR200" s="90" t="s">
        <v>187</v>
      </c>
      <c r="AS200" s="90">
        <v>0</v>
      </c>
      <c r="AT200" s="90">
        <v>0</v>
      </c>
      <c r="AU200" s="90"/>
      <c r="AV200" s="90"/>
      <c r="AW200" s="90"/>
      <c r="AX200" s="90"/>
      <c r="AY200" s="90"/>
      <c r="AZ200" s="90"/>
      <c r="BA200" s="90"/>
      <c r="BB200" s="90"/>
      <c r="BC200">
        <v>2</v>
      </c>
      <c r="BD200" s="89" t="str">
        <f>REPLACE(INDEX(GroupVertices[Group],MATCH(Edges[[#This Row],[Vertex 1]],GroupVertices[Vertex],0)),1,1,"")</f>
        <v>4</v>
      </c>
      <c r="BE200" s="89" t="str">
        <f>REPLACE(INDEX(GroupVertices[Group],MATCH(Edges[[#This Row],[Vertex 2]],GroupVertices[Vertex],0)),1,1,"")</f>
        <v>4</v>
      </c>
      <c r="BF200" s="49"/>
      <c r="BG200" s="50"/>
      <c r="BH200" s="49"/>
      <c r="BI200" s="50"/>
      <c r="BJ200" s="49"/>
      <c r="BK200" s="50"/>
      <c r="BL200" s="49"/>
      <c r="BM200" s="50"/>
      <c r="BN200" s="49"/>
    </row>
    <row r="201" spans="1:66" ht="15">
      <c r="A201" s="65" t="s">
        <v>288</v>
      </c>
      <c r="B201" s="65" t="s">
        <v>452</v>
      </c>
      <c r="C201" s="66" t="s">
        <v>5817</v>
      </c>
      <c r="D201" s="67">
        <v>1</v>
      </c>
      <c r="E201" s="68" t="s">
        <v>132</v>
      </c>
      <c r="F201" s="69">
        <v>32</v>
      </c>
      <c r="G201" s="66" t="s">
        <v>51</v>
      </c>
      <c r="H201" s="70"/>
      <c r="I201" s="71"/>
      <c r="J201" s="71"/>
      <c r="K201" s="35" t="s">
        <v>65</v>
      </c>
      <c r="L201" s="79">
        <v>201</v>
      </c>
      <c r="M201" s="79"/>
      <c r="N201" s="73"/>
      <c r="O201" s="90" t="s">
        <v>523</v>
      </c>
      <c r="P201" s="93">
        <v>44531.0528125</v>
      </c>
      <c r="Q201" s="90" t="s">
        <v>587</v>
      </c>
      <c r="R201" s="90"/>
      <c r="S201" s="90"/>
      <c r="T201" s="90"/>
      <c r="U201" s="90"/>
      <c r="V201" s="96" t="str">
        <f>HYPERLINK("https://abs.twimg.com/sticky/default_profile_images/default_profile_normal.png")</f>
        <v>https://abs.twimg.com/sticky/default_profile_images/default_profile_normal.png</v>
      </c>
      <c r="W201" s="93">
        <v>44531.0528125</v>
      </c>
      <c r="X201" s="100">
        <v>44531</v>
      </c>
      <c r="Y201" s="97" t="s">
        <v>803</v>
      </c>
      <c r="Z201" s="96" t="str">
        <f>HYPERLINK("https://twitter.com/eramaas/status/1465852156884496388")</f>
        <v>https://twitter.com/eramaas/status/1465852156884496388</v>
      </c>
      <c r="AA201" s="90"/>
      <c r="AB201" s="90"/>
      <c r="AC201" s="97" t="s">
        <v>1055</v>
      </c>
      <c r="AD201" s="97" t="s">
        <v>1262</v>
      </c>
      <c r="AE201" s="90" t="b">
        <v>0</v>
      </c>
      <c r="AF201" s="90">
        <v>0</v>
      </c>
      <c r="AG201" s="97" t="s">
        <v>1379</v>
      </c>
      <c r="AH201" s="90" t="b">
        <v>0</v>
      </c>
      <c r="AI201" s="90" t="s">
        <v>1442</v>
      </c>
      <c r="AJ201" s="90"/>
      <c r="AK201" s="97" t="s">
        <v>1338</v>
      </c>
      <c r="AL201" s="90" t="b">
        <v>0</v>
      </c>
      <c r="AM201" s="90">
        <v>0</v>
      </c>
      <c r="AN201" s="97" t="s">
        <v>1338</v>
      </c>
      <c r="AO201" s="97" t="s">
        <v>1452</v>
      </c>
      <c r="AP201" s="90" t="b">
        <v>0</v>
      </c>
      <c r="AQ201" s="97" t="s">
        <v>1262</v>
      </c>
      <c r="AR201" s="90" t="s">
        <v>187</v>
      </c>
      <c r="AS201" s="90">
        <v>0</v>
      </c>
      <c r="AT201" s="90">
        <v>0</v>
      </c>
      <c r="AU201" s="90"/>
      <c r="AV201" s="90"/>
      <c r="AW201" s="90"/>
      <c r="AX201" s="90"/>
      <c r="AY201" s="90"/>
      <c r="AZ201" s="90"/>
      <c r="BA201" s="90"/>
      <c r="BB201" s="90"/>
      <c r="BC201">
        <v>1</v>
      </c>
      <c r="BD201" s="89" t="str">
        <f>REPLACE(INDEX(GroupVertices[Group],MATCH(Edges[[#This Row],[Vertex 1]],GroupVertices[Vertex],0)),1,1,"")</f>
        <v>4</v>
      </c>
      <c r="BE201" s="89" t="str">
        <f>REPLACE(INDEX(GroupVertices[Group],MATCH(Edges[[#This Row],[Vertex 2]],GroupVertices[Vertex],0)),1,1,"")</f>
        <v>4</v>
      </c>
      <c r="BF201" s="49">
        <v>0</v>
      </c>
      <c r="BG201" s="50">
        <v>0</v>
      </c>
      <c r="BH201" s="49">
        <v>0</v>
      </c>
      <c r="BI201" s="50">
        <v>0</v>
      </c>
      <c r="BJ201" s="49">
        <v>0</v>
      </c>
      <c r="BK201" s="50">
        <v>0</v>
      </c>
      <c r="BL201" s="49">
        <v>29</v>
      </c>
      <c r="BM201" s="50">
        <v>100</v>
      </c>
      <c r="BN201" s="49">
        <v>29</v>
      </c>
    </row>
    <row r="202" spans="1:66" ht="15">
      <c r="A202" s="65" t="s">
        <v>288</v>
      </c>
      <c r="B202" s="65" t="s">
        <v>453</v>
      </c>
      <c r="C202" s="66" t="s">
        <v>5817</v>
      </c>
      <c r="D202" s="67">
        <v>1</v>
      </c>
      <c r="E202" s="68" t="s">
        <v>132</v>
      </c>
      <c r="F202" s="69">
        <v>32</v>
      </c>
      <c r="G202" s="66" t="s">
        <v>51</v>
      </c>
      <c r="H202" s="70"/>
      <c r="I202" s="71"/>
      <c r="J202" s="71"/>
      <c r="K202" s="35" t="s">
        <v>65</v>
      </c>
      <c r="L202" s="79">
        <v>202</v>
      </c>
      <c r="M202" s="79"/>
      <c r="N202" s="73"/>
      <c r="O202" s="90" t="s">
        <v>523</v>
      </c>
      <c r="P202" s="93">
        <v>44531.054131944446</v>
      </c>
      <c r="Q202" s="90" t="s">
        <v>588</v>
      </c>
      <c r="R202" s="90"/>
      <c r="S202" s="90"/>
      <c r="T202" s="90"/>
      <c r="U202" s="90"/>
      <c r="V202" s="96" t="str">
        <f>HYPERLINK("https://abs.twimg.com/sticky/default_profile_images/default_profile_normal.png")</f>
        <v>https://abs.twimg.com/sticky/default_profile_images/default_profile_normal.png</v>
      </c>
      <c r="W202" s="93">
        <v>44531.054131944446</v>
      </c>
      <c r="X202" s="100">
        <v>44531</v>
      </c>
      <c r="Y202" s="97" t="s">
        <v>804</v>
      </c>
      <c r="Z202" s="96" t="str">
        <f>HYPERLINK("https://twitter.com/eramaas/status/1465852637253881867")</f>
        <v>https://twitter.com/eramaas/status/1465852637253881867</v>
      </c>
      <c r="AA202" s="90"/>
      <c r="AB202" s="90"/>
      <c r="AC202" s="97" t="s">
        <v>1056</v>
      </c>
      <c r="AD202" s="97" t="s">
        <v>1263</v>
      </c>
      <c r="AE202" s="90" t="b">
        <v>0</v>
      </c>
      <c r="AF202" s="90">
        <v>4</v>
      </c>
      <c r="AG202" s="97" t="s">
        <v>1380</v>
      </c>
      <c r="AH202" s="90" t="b">
        <v>0</v>
      </c>
      <c r="AI202" s="90" t="s">
        <v>1442</v>
      </c>
      <c r="AJ202" s="90"/>
      <c r="AK202" s="97" t="s">
        <v>1338</v>
      </c>
      <c r="AL202" s="90" t="b">
        <v>0</v>
      </c>
      <c r="AM202" s="90">
        <v>0</v>
      </c>
      <c r="AN202" s="97" t="s">
        <v>1338</v>
      </c>
      <c r="AO202" s="97" t="s">
        <v>1452</v>
      </c>
      <c r="AP202" s="90" t="b">
        <v>0</v>
      </c>
      <c r="AQ202" s="97" t="s">
        <v>1263</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4</v>
      </c>
      <c r="BE202" s="89" t="str">
        <f>REPLACE(INDEX(GroupVertices[Group],MATCH(Edges[[#This Row],[Vertex 2]],GroupVertices[Vertex],0)),1,1,"")</f>
        <v>4</v>
      </c>
      <c r="BF202" s="49">
        <v>0</v>
      </c>
      <c r="BG202" s="50">
        <v>0</v>
      </c>
      <c r="BH202" s="49">
        <v>0</v>
      </c>
      <c r="BI202" s="50">
        <v>0</v>
      </c>
      <c r="BJ202" s="49">
        <v>0</v>
      </c>
      <c r="BK202" s="50">
        <v>0</v>
      </c>
      <c r="BL202" s="49">
        <v>21</v>
      </c>
      <c r="BM202" s="50">
        <v>100</v>
      </c>
      <c r="BN202" s="49">
        <v>21</v>
      </c>
    </row>
    <row r="203" spans="1:66" ht="15">
      <c r="A203" s="65" t="s">
        <v>288</v>
      </c>
      <c r="B203" s="65" t="s">
        <v>454</v>
      </c>
      <c r="C203" s="66" t="s">
        <v>5817</v>
      </c>
      <c r="D203" s="67">
        <v>1</v>
      </c>
      <c r="E203" s="68" t="s">
        <v>132</v>
      </c>
      <c r="F203" s="69">
        <v>32</v>
      </c>
      <c r="G203" s="66" t="s">
        <v>51</v>
      </c>
      <c r="H203" s="70"/>
      <c r="I203" s="71"/>
      <c r="J203" s="71"/>
      <c r="K203" s="35" t="s">
        <v>65</v>
      </c>
      <c r="L203" s="79">
        <v>203</v>
      </c>
      <c r="M203" s="79"/>
      <c r="N203" s="73"/>
      <c r="O203" s="90" t="s">
        <v>524</v>
      </c>
      <c r="P203" s="93">
        <v>44531.03138888889</v>
      </c>
      <c r="Q203" s="90" t="s">
        <v>585</v>
      </c>
      <c r="R203" s="90"/>
      <c r="S203" s="90"/>
      <c r="T203" s="90"/>
      <c r="U203" s="90"/>
      <c r="V203" s="96" t="str">
        <f>HYPERLINK("https://abs.twimg.com/sticky/default_profile_images/default_profile_normal.png")</f>
        <v>https://abs.twimg.com/sticky/default_profile_images/default_profile_normal.png</v>
      </c>
      <c r="W203" s="93">
        <v>44531.03138888889</v>
      </c>
      <c r="X203" s="100">
        <v>44531</v>
      </c>
      <c r="Y203" s="97" t="s">
        <v>800</v>
      </c>
      <c r="Z203" s="96" t="str">
        <f>HYPERLINK("https://twitter.com/eramaas/status/1465844396386131971")</f>
        <v>https://twitter.com/eramaas/status/1465844396386131971</v>
      </c>
      <c r="AA203" s="90"/>
      <c r="AB203" s="90"/>
      <c r="AC203" s="97" t="s">
        <v>1052</v>
      </c>
      <c r="AD203" s="97" t="s">
        <v>1261</v>
      </c>
      <c r="AE203" s="90" t="b">
        <v>0</v>
      </c>
      <c r="AF203" s="90">
        <v>2</v>
      </c>
      <c r="AG203" s="97" t="s">
        <v>1378</v>
      </c>
      <c r="AH203" s="90" t="b">
        <v>0</v>
      </c>
      <c r="AI203" s="90" t="s">
        <v>1442</v>
      </c>
      <c r="AJ203" s="90"/>
      <c r="AK203" s="97" t="s">
        <v>1338</v>
      </c>
      <c r="AL203" s="90" t="b">
        <v>0</v>
      </c>
      <c r="AM203" s="90">
        <v>1</v>
      </c>
      <c r="AN203" s="97" t="s">
        <v>1338</v>
      </c>
      <c r="AO203" s="97" t="s">
        <v>1452</v>
      </c>
      <c r="AP203" s="90" t="b">
        <v>0</v>
      </c>
      <c r="AQ203" s="97" t="s">
        <v>1261</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4</v>
      </c>
      <c r="BE203" s="89" t="str">
        <f>REPLACE(INDEX(GroupVertices[Group],MATCH(Edges[[#This Row],[Vertex 2]],GroupVertices[Vertex],0)),1,1,"")</f>
        <v>4</v>
      </c>
      <c r="BF203" s="49"/>
      <c r="BG203" s="50"/>
      <c r="BH203" s="49"/>
      <c r="BI203" s="50"/>
      <c r="BJ203" s="49"/>
      <c r="BK203" s="50"/>
      <c r="BL203" s="49"/>
      <c r="BM203" s="50"/>
      <c r="BN203" s="49"/>
    </row>
    <row r="204" spans="1:66" ht="15">
      <c r="A204" s="65" t="s">
        <v>288</v>
      </c>
      <c r="B204" s="65" t="s">
        <v>454</v>
      </c>
      <c r="C204" s="66" t="s">
        <v>5817</v>
      </c>
      <c r="D204" s="67">
        <v>1</v>
      </c>
      <c r="E204" s="68" t="s">
        <v>132</v>
      </c>
      <c r="F204" s="69">
        <v>32</v>
      </c>
      <c r="G204" s="66" t="s">
        <v>51</v>
      </c>
      <c r="H204" s="70"/>
      <c r="I204" s="71"/>
      <c r="J204" s="71"/>
      <c r="K204" s="35" t="s">
        <v>65</v>
      </c>
      <c r="L204" s="79">
        <v>204</v>
      </c>
      <c r="M204" s="79"/>
      <c r="N204" s="73"/>
      <c r="O204" s="90" t="s">
        <v>525</v>
      </c>
      <c r="P204" s="93">
        <v>44531.0315625</v>
      </c>
      <c r="Q204" s="90" t="s">
        <v>585</v>
      </c>
      <c r="R204" s="90"/>
      <c r="S204" s="90"/>
      <c r="T204" s="90"/>
      <c r="U204" s="90"/>
      <c r="V204" s="96" t="str">
        <f>HYPERLINK("https://abs.twimg.com/sticky/default_profile_images/default_profile_normal.png")</f>
        <v>https://abs.twimg.com/sticky/default_profile_images/default_profile_normal.png</v>
      </c>
      <c r="W204" s="93">
        <v>44531.0315625</v>
      </c>
      <c r="X204" s="100">
        <v>44531</v>
      </c>
      <c r="Y204" s="97" t="s">
        <v>801</v>
      </c>
      <c r="Z204" s="96" t="str">
        <f>HYPERLINK("https://twitter.com/eramaas/status/1465844458491195397")</f>
        <v>https://twitter.com/eramaas/status/1465844458491195397</v>
      </c>
      <c r="AA204" s="90"/>
      <c r="AB204" s="90"/>
      <c r="AC204" s="97" t="s">
        <v>1053</v>
      </c>
      <c r="AD204" s="90"/>
      <c r="AE204" s="90" t="b">
        <v>0</v>
      </c>
      <c r="AF204" s="90">
        <v>0</v>
      </c>
      <c r="AG204" s="97" t="s">
        <v>1338</v>
      </c>
      <c r="AH204" s="90" t="b">
        <v>0</v>
      </c>
      <c r="AI204" s="90" t="s">
        <v>1442</v>
      </c>
      <c r="AJ204" s="90"/>
      <c r="AK204" s="97" t="s">
        <v>1338</v>
      </c>
      <c r="AL204" s="90" t="b">
        <v>0</v>
      </c>
      <c r="AM204" s="90">
        <v>1</v>
      </c>
      <c r="AN204" s="97" t="s">
        <v>1052</v>
      </c>
      <c r="AO204" s="97" t="s">
        <v>1452</v>
      </c>
      <c r="AP204" s="90" t="b">
        <v>0</v>
      </c>
      <c r="AQ204" s="97" t="s">
        <v>1052</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4</v>
      </c>
      <c r="BE204" s="89" t="str">
        <f>REPLACE(INDEX(GroupVertices[Group],MATCH(Edges[[#This Row],[Vertex 2]],GroupVertices[Vertex],0)),1,1,"")</f>
        <v>4</v>
      </c>
      <c r="BF204" s="49"/>
      <c r="BG204" s="50"/>
      <c r="BH204" s="49"/>
      <c r="BI204" s="50"/>
      <c r="BJ204" s="49"/>
      <c r="BK204" s="50"/>
      <c r="BL204" s="49"/>
      <c r="BM204" s="50"/>
      <c r="BN204" s="49"/>
    </row>
    <row r="205" spans="1:66" ht="15">
      <c r="A205" s="65" t="s">
        <v>288</v>
      </c>
      <c r="B205" s="65" t="s">
        <v>454</v>
      </c>
      <c r="C205" s="66" t="s">
        <v>5817</v>
      </c>
      <c r="D205" s="67">
        <v>1</v>
      </c>
      <c r="E205" s="68" t="s">
        <v>132</v>
      </c>
      <c r="F205" s="69">
        <v>32</v>
      </c>
      <c r="G205" s="66" t="s">
        <v>51</v>
      </c>
      <c r="H205" s="70"/>
      <c r="I205" s="71"/>
      <c r="J205" s="71"/>
      <c r="K205" s="35" t="s">
        <v>65</v>
      </c>
      <c r="L205" s="79">
        <v>205</v>
      </c>
      <c r="M205" s="79"/>
      <c r="N205" s="73"/>
      <c r="O205" s="90" t="s">
        <v>523</v>
      </c>
      <c r="P205" s="93">
        <v>44531.05519675926</v>
      </c>
      <c r="Q205" s="90" t="s">
        <v>589</v>
      </c>
      <c r="R205" s="90"/>
      <c r="S205" s="90"/>
      <c r="T205" s="90"/>
      <c r="U205" s="90"/>
      <c r="V205" s="96" t="str">
        <f>HYPERLINK("https://abs.twimg.com/sticky/default_profile_images/default_profile_normal.png")</f>
        <v>https://abs.twimg.com/sticky/default_profile_images/default_profile_normal.png</v>
      </c>
      <c r="W205" s="93">
        <v>44531.05519675926</v>
      </c>
      <c r="X205" s="100">
        <v>44531</v>
      </c>
      <c r="Y205" s="97" t="s">
        <v>805</v>
      </c>
      <c r="Z205" s="96" t="str">
        <f>HYPERLINK("https://twitter.com/eramaas/status/1465853021171113991")</f>
        <v>https://twitter.com/eramaas/status/1465853021171113991</v>
      </c>
      <c r="AA205" s="90"/>
      <c r="AB205" s="90"/>
      <c r="AC205" s="97" t="s">
        <v>1057</v>
      </c>
      <c r="AD205" s="97" t="s">
        <v>1264</v>
      </c>
      <c r="AE205" s="90" t="b">
        <v>0</v>
      </c>
      <c r="AF205" s="90">
        <v>1</v>
      </c>
      <c r="AG205" s="97" t="s">
        <v>1381</v>
      </c>
      <c r="AH205" s="90" t="b">
        <v>0</v>
      </c>
      <c r="AI205" s="90" t="s">
        <v>1442</v>
      </c>
      <c r="AJ205" s="90"/>
      <c r="AK205" s="97" t="s">
        <v>1338</v>
      </c>
      <c r="AL205" s="90" t="b">
        <v>0</v>
      </c>
      <c r="AM205" s="90">
        <v>0</v>
      </c>
      <c r="AN205" s="97" t="s">
        <v>1338</v>
      </c>
      <c r="AO205" s="97" t="s">
        <v>1452</v>
      </c>
      <c r="AP205" s="90" t="b">
        <v>0</v>
      </c>
      <c r="AQ205" s="97" t="s">
        <v>1264</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4</v>
      </c>
      <c r="BE205" s="89" t="str">
        <f>REPLACE(INDEX(GroupVertices[Group],MATCH(Edges[[#This Row],[Vertex 2]],GroupVertices[Vertex],0)),1,1,"")</f>
        <v>4</v>
      </c>
      <c r="BF205" s="49">
        <v>0</v>
      </c>
      <c r="BG205" s="50">
        <v>0</v>
      </c>
      <c r="BH205" s="49">
        <v>0</v>
      </c>
      <c r="BI205" s="50">
        <v>0</v>
      </c>
      <c r="BJ205" s="49">
        <v>0</v>
      </c>
      <c r="BK205" s="50">
        <v>0</v>
      </c>
      <c r="BL205" s="49">
        <v>20</v>
      </c>
      <c r="BM205" s="50">
        <v>100</v>
      </c>
      <c r="BN205" s="49">
        <v>20</v>
      </c>
    </row>
    <row r="206" spans="1:66" ht="15">
      <c r="A206" s="65" t="s">
        <v>288</v>
      </c>
      <c r="B206" s="65" t="s">
        <v>455</v>
      </c>
      <c r="C206" s="66" t="s">
        <v>5817</v>
      </c>
      <c r="D206" s="67">
        <v>1</v>
      </c>
      <c r="E206" s="68" t="s">
        <v>132</v>
      </c>
      <c r="F206" s="69">
        <v>32</v>
      </c>
      <c r="G206" s="66" t="s">
        <v>51</v>
      </c>
      <c r="H206" s="70"/>
      <c r="I206" s="71"/>
      <c r="J206" s="71"/>
      <c r="K206" s="35" t="s">
        <v>65</v>
      </c>
      <c r="L206" s="79">
        <v>206</v>
      </c>
      <c r="M206" s="79"/>
      <c r="N206" s="73"/>
      <c r="O206" s="90" t="s">
        <v>523</v>
      </c>
      <c r="P206" s="93">
        <v>44531.056446759256</v>
      </c>
      <c r="Q206" s="90" t="s">
        <v>590</v>
      </c>
      <c r="R206" s="90"/>
      <c r="S206" s="90"/>
      <c r="T206" s="90"/>
      <c r="U206" s="90"/>
      <c r="V206" s="96" t="str">
        <f>HYPERLINK("https://abs.twimg.com/sticky/default_profile_images/default_profile_normal.png")</f>
        <v>https://abs.twimg.com/sticky/default_profile_images/default_profile_normal.png</v>
      </c>
      <c r="W206" s="93">
        <v>44531.056446759256</v>
      </c>
      <c r="X206" s="100">
        <v>44531</v>
      </c>
      <c r="Y206" s="97" t="s">
        <v>806</v>
      </c>
      <c r="Z206" s="96" t="str">
        <f>HYPERLINK("https://twitter.com/eramaas/status/1465853476190183426")</f>
        <v>https://twitter.com/eramaas/status/1465853476190183426</v>
      </c>
      <c r="AA206" s="90"/>
      <c r="AB206" s="90"/>
      <c r="AC206" s="97" t="s">
        <v>1058</v>
      </c>
      <c r="AD206" s="97" t="s">
        <v>1265</v>
      </c>
      <c r="AE206" s="90" t="b">
        <v>0</v>
      </c>
      <c r="AF206" s="90">
        <v>0</v>
      </c>
      <c r="AG206" s="97" t="s">
        <v>1382</v>
      </c>
      <c r="AH206" s="90" t="b">
        <v>0</v>
      </c>
      <c r="AI206" s="90" t="s">
        <v>1442</v>
      </c>
      <c r="AJ206" s="90"/>
      <c r="AK206" s="97" t="s">
        <v>1338</v>
      </c>
      <c r="AL206" s="90" t="b">
        <v>0</v>
      </c>
      <c r="AM206" s="90">
        <v>0</v>
      </c>
      <c r="AN206" s="97" t="s">
        <v>1338</v>
      </c>
      <c r="AO206" s="97" t="s">
        <v>1452</v>
      </c>
      <c r="AP206" s="90" t="b">
        <v>0</v>
      </c>
      <c r="AQ206" s="97" t="s">
        <v>1265</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4</v>
      </c>
      <c r="BE206" s="89" t="str">
        <f>REPLACE(INDEX(GroupVertices[Group],MATCH(Edges[[#This Row],[Vertex 2]],GroupVertices[Vertex],0)),1,1,"")</f>
        <v>4</v>
      </c>
      <c r="BF206" s="49">
        <v>0</v>
      </c>
      <c r="BG206" s="50">
        <v>0</v>
      </c>
      <c r="BH206" s="49">
        <v>0</v>
      </c>
      <c r="BI206" s="50">
        <v>0</v>
      </c>
      <c r="BJ206" s="49">
        <v>0</v>
      </c>
      <c r="BK206" s="50">
        <v>0</v>
      </c>
      <c r="BL206" s="49">
        <v>19</v>
      </c>
      <c r="BM206" s="50">
        <v>100</v>
      </c>
      <c r="BN206" s="49">
        <v>19</v>
      </c>
    </row>
    <row r="207" spans="1:66" ht="15">
      <c r="A207" s="65" t="s">
        <v>288</v>
      </c>
      <c r="B207" s="65" t="s">
        <v>456</v>
      </c>
      <c r="C207" s="66" t="s">
        <v>5817</v>
      </c>
      <c r="D207" s="67">
        <v>1</v>
      </c>
      <c r="E207" s="68" t="s">
        <v>132</v>
      </c>
      <c r="F207" s="69">
        <v>32</v>
      </c>
      <c r="G207" s="66" t="s">
        <v>51</v>
      </c>
      <c r="H207" s="70"/>
      <c r="I207" s="71"/>
      <c r="J207" s="71"/>
      <c r="K207" s="35" t="s">
        <v>65</v>
      </c>
      <c r="L207" s="79">
        <v>207</v>
      </c>
      <c r="M207" s="79"/>
      <c r="N207" s="73"/>
      <c r="O207" s="90" t="s">
        <v>523</v>
      </c>
      <c r="P207" s="93">
        <v>44531.05908564815</v>
      </c>
      <c r="Q207" s="90" t="s">
        <v>591</v>
      </c>
      <c r="R207" s="90"/>
      <c r="S207" s="90"/>
      <c r="T207" s="90"/>
      <c r="U207" s="90"/>
      <c r="V207" s="96" t="str">
        <f>HYPERLINK("https://abs.twimg.com/sticky/default_profile_images/default_profile_normal.png")</f>
        <v>https://abs.twimg.com/sticky/default_profile_images/default_profile_normal.png</v>
      </c>
      <c r="W207" s="93">
        <v>44531.05908564815</v>
      </c>
      <c r="X207" s="100">
        <v>44531</v>
      </c>
      <c r="Y207" s="97" t="s">
        <v>807</v>
      </c>
      <c r="Z207" s="96" t="str">
        <f>HYPERLINK("https://twitter.com/eramaas/status/1465854433233977344")</f>
        <v>https://twitter.com/eramaas/status/1465854433233977344</v>
      </c>
      <c r="AA207" s="90"/>
      <c r="AB207" s="90"/>
      <c r="AC207" s="97" t="s">
        <v>1059</v>
      </c>
      <c r="AD207" s="97" t="s">
        <v>1266</v>
      </c>
      <c r="AE207" s="90" t="b">
        <v>0</v>
      </c>
      <c r="AF207" s="90">
        <v>2</v>
      </c>
      <c r="AG207" s="97" t="s">
        <v>1383</v>
      </c>
      <c r="AH207" s="90" t="b">
        <v>0</v>
      </c>
      <c r="AI207" s="90" t="s">
        <v>1442</v>
      </c>
      <c r="AJ207" s="90"/>
      <c r="AK207" s="97" t="s">
        <v>1338</v>
      </c>
      <c r="AL207" s="90" t="b">
        <v>0</v>
      </c>
      <c r="AM207" s="90">
        <v>0</v>
      </c>
      <c r="AN207" s="97" t="s">
        <v>1338</v>
      </c>
      <c r="AO207" s="97" t="s">
        <v>1452</v>
      </c>
      <c r="AP207" s="90" t="b">
        <v>0</v>
      </c>
      <c r="AQ207" s="97" t="s">
        <v>1266</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4</v>
      </c>
      <c r="BE207" s="89" t="str">
        <f>REPLACE(INDEX(GroupVertices[Group],MATCH(Edges[[#This Row],[Vertex 2]],GroupVertices[Vertex],0)),1,1,"")</f>
        <v>4</v>
      </c>
      <c r="BF207" s="49">
        <v>0</v>
      </c>
      <c r="BG207" s="50">
        <v>0</v>
      </c>
      <c r="BH207" s="49">
        <v>0</v>
      </c>
      <c r="BI207" s="50">
        <v>0</v>
      </c>
      <c r="BJ207" s="49">
        <v>0</v>
      </c>
      <c r="BK207" s="50">
        <v>0</v>
      </c>
      <c r="BL207" s="49">
        <v>13</v>
      </c>
      <c r="BM207" s="50">
        <v>100</v>
      </c>
      <c r="BN207" s="49">
        <v>13</v>
      </c>
    </row>
    <row r="208" spans="1:66" ht="15">
      <c r="A208" s="65" t="s">
        <v>288</v>
      </c>
      <c r="B208" s="65" t="s">
        <v>429</v>
      </c>
      <c r="C208" s="66" t="s">
        <v>5817</v>
      </c>
      <c r="D208" s="67">
        <v>1</v>
      </c>
      <c r="E208" s="68" t="s">
        <v>132</v>
      </c>
      <c r="F208" s="69">
        <v>32</v>
      </c>
      <c r="G208" s="66" t="s">
        <v>51</v>
      </c>
      <c r="H208" s="70"/>
      <c r="I208" s="71"/>
      <c r="J208" s="71"/>
      <c r="K208" s="35" t="s">
        <v>65</v>
      </c>
      <c r="L208" s="79">
        <v>208</v>
      </c>
      <c r="M208" s="79"/>
      <c r="N208" s="73"/>
      <c r="O208" s="90" t="s">
        <v>523</v>
      </c>
      <c r="P208" s="93">
        <v>44528.85115740741</v>
      </c>
      <c r="Q208" s="90" t="s">
        <v>592</v>
      </c>
      <c r="R208" s="90"/>
      <c r="S208" s="90"/>
      <c r="T208" s="90"/>
      <c r="U208" s="90"/>
      <c r="V208" s="96" t="str">
        <f>HYPERLINK("https://abs.twimg.com/sticky/default_profile_images/default_profile_normal.png")</f>
        <v>https://abs.twimg.com/sticky/default_profile_images/default_profile_normal.png</v>
      </c>
      <c r="W208" s="93">
        <v>44528.85115740741</v>
      </c>
      <c r="X208" s="100">
        <v>44528</v>
      </c>
      <c r="Y208" s="97" t="s">
        <v>808</v>
      </c>
      <c r="Z208" s="96" t="str">
        <f>HYPERLINK("https://twitter.com/eramaas/status/1465054306583957509")</f>
        <v>https://twitter.com/eramaas/status/1465054306583957509</v>
      </c>
      <c r="AA208" s="90"/>
      <c r="AB208" s="90"/>
      <c r="AC208" s="97" t="s">
        <v>1060</v>
      </c>
      <c r="AD208" s="97" t="s">
        <v>1267</v>
      </c>
      <c r="AE208" s="90" t="b">
        <v>0</v>
      </c>
      <c r="AF208" s="90">
        <v>0</v>
      </c>
      <c r="AG208" s="97" t="s">
        <v>1374</v>
      </c>
      <c r="AH208" s="90" t="b">
        <v>0</v>
      </c>
      <c r="AI208" s="90" t="s">
        <v>1442</v>
      </c>
      <c r="AJ208" s="90"/>
      <c r="AK208" s="97" t="s">
        <v>1338</v>
      </c>
      <c r="AL208" s="90" t="b">
        <v>0</v>
      </c>
      <c r="AM208" s="90">
        <v>0</v>
      </c>
      <c r="AN208" s="97" t="s">
        <v>1338</v>
      </c>
      <c r="AO208" s="97" t="s">
        <v>1452</v>
      </c>
      <c r="AP208" s="90" t="b">
        <v>0</v>
      </c>
      <c r="AQ208" s="97" t="s">
        <v>1267</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4</v>
      </c>
      <c r="BE208" s="89" t="str">
        <f>REPLACE(INDEX(GroupVertices[Group],MATCH(Edges[[#This Row],[Vertex 2]],GroupVertices[Vertex],0)),1,1,"")</f>
        <v>4</v>
      </c>
      <c r="BF208" s="49">
        <v>0</v>
      </c>
      <c r="BG208" s="50">
        <v>0</v>
      </c>
      <c r="BH208" s="49">
        <v>0</v>
      </c>
      <c r="BI208" s="50">
        <v>0</v>
      </c>
      <c r="BJ208" s="49">
        <v>0</v>
      </c>
      <c r="BK208" s="50">
        <v>0</v>
      </c>
      <c r="BL208" s="49">
        <v>12</v>
      </c>
      <c r="BM208" s="50">
        <v>100</v>
      </c>
      <c r="BN208" s="49">
        <v>12</v>
      </c>
    </row>
    <row r="209" spans="1:66" ht="15">
      <c r="A209" s="65" t="s">
        <v>288</v>
      </c>
      <c r="B209" s="65" t="s">
        <v>457</v>
      </c>
      <c r="C209" s="66" t="s">
        <v>5817</v>
      </c>
      <c r="D209" s="67">
        <v>1</v>
      </c>
      <c r="E209" s="68" t="s">
        <v>132</v>
      </c>
      <c r="F209" s="69">
        <v>32</v>
      </c>
      <c r="G209" s="66" t="s">
        <v>51</v>
      </c>
      <c r="H209" s="70"/>
      <c r="I209" s="71"/>
      <c r="J209" s="71"/>
      <c r="K209" s="35" t="s">
        <v>65</v>
      </c>
      <c r="L209" s="79">
        <v>209</v>
      </c>
      <c r="M209" s="79"/>
      <c r="N209" s="73"/>
      <c r="O209" s="90" t="s">
        <v>524</v>
      </c>
      <c r="P209" s="93">
        <v>44531.03138888889</v>
      </c>
      <c r="Q209" s="90" t="s">
        <v>585</v>
      </c>
      <c r="R209" s="90"/>
      <c r="S209" s="90"/>
      <c r="T209" s="90"/>
      <c r="U209" s="90"/>
      <c r="V209" s="96" t="str">
        <f>HYPERLINK("https://abs.twimg.com/sticky/default_profile_images/default_profile_normal.png")</f>
        <v>https://abs.twimg.com/sticky/default_profile_images/default_profile_normal.png</v>
      </c>
      <c r="W209" s="93">
        <v>44531.03138888889</v>
      </c>
      <c r="X209" s="100">
        <v>44531</v>
      </c>
      <c r="Y209" s="97" t="s">
        <v>800</v>
      </c>
      <c r="Z209" s="96" t="str">
        <f>HYPERLINK("https://twitter.com/eramaas/status/1465844396386131971")</f>
        <v>https://twitter.com/eramaas/status/1465844396386131971</v>
      </c>
      <c r="AA209" s="90"/>
      <c r="AB209" s="90"/>
      <c r="AC209" s="97" t="s">
        <v>1052</v>
      </c>
      <c r="AD209" s="97" t="s">
        <v>1261</v>
      </c>
      <c r="AE209" s="90" t="b">
        <v>0</v>
      </c>
      <c r="AF209" s="90">
        <v>2</v>
      </c>
      <c r="AG209" s="97" t="s">
        <v>1378</v>
      </c>
      <c r="AH209" s="90" t="b">
        <v>0</v>
      </c>
      <c r="AI209" s="90" t="s">
        <v>1442</v>
      </c>
      <c r="AJ209" s="90"/>
      <c r="AK209" s="97" t="s">
        <v>1338</v>
      </c>
      <c r="AL209" s="90" t="b">
        <v>0</v>
      </c>
      <c r="AM209" s="90">
        <v>1</v>
      </c>
      <c r="AN209" s="97" t="s">
        <v>1338</v>
      </c>
      <c r="AO209" s="97" t="s">
        <v>1452</v>
      </c>
      <c r="AP209" s="90" t="b">
        <v>0</v>
      </c>
      <c r="AQ209" s="97" t="s">
        <v>1261</v>
      </c>
      <c r="AR209" s="90" t="s">
        <v>187</v>
      </c>
      <c r="AS209" s="90">
        <v>0</v>
      </c>
      <c r="AT209" s="90">
        <v>0</v>
      </c>
      <c r="AU209" s="90"/>
      <c r="AV209" s="90"/>
      <c r="AW209" s="90"/>
      <c r="AX209" s="90"/>
      <c r="AY209" s="90"/>
      <c r="AZ209" s="90"/>
      <c r="BA209" s="90"/>
      <c r="BB209" s="90"/>
      <c r="BC209">
        <v>1</v>
      </c>
      <c r="BD209" s="89" t="str">
        <f>REPLACE(INDEX(GroupVertices[Group],MATCH(Edges[[#This Row],[Vertex 1]],GroupVertices[Vertex],0)),1,1,"")</f>
        <v>4</v>
      </c>
      <c r="BE209" s="89" t="str">
        <f>REPLACE(INDEX(GroupVertices[Group],MATCH(Edges[[#This Row],[Vertex 2]],GroupVertices[Vertex],0)),1,1,"")</f>
        <v>4</v>
      </c>
      <c r="BF209" s="49">
        <v>0</v>
      </c>
      <c r="BG209" s="50">
        <v>0</v>
      </c>
      <c r="BH209" s="49">
        <v>0</v>
      </c>
      <c r="BI209" s="50">
        <v>0</v>
      </c>
      <c r="BJ209" s="49">
        <v>0</v>
      </c>
      <c r="BK209" s="50">
        <v>0</v>
      </c>
      <c r="BL209" s="49">
        <v>33</v>
      </c>
      <c r="BM209" s="50">
        <v>100</v>
      </c>
      <c r="BN209" s="49">
        <v>33</v>
      </c>
    </row>
    <row r="210" spans="1:66" ht="15">
      <c r="A210" s="65" t="s">
        <v>288</v>
      </c>
      <c r="B210" s="65" t="s">
        <v>457</v>
      </c>
      <c r="C210" s="66" t="s">
        <v>5817</v>
      </c>
      <c r="D210" s="67">
        <v>1</v>
      </c>
      <c r="E210" s="68" t="s">
        <v>132</v>
      </c>
      <c r="F210" s="69">
        <v>32</v>
      </c>
      <c r="G210" s="66" t="s">
        <v>51</v>
      </c>
      <c r="H210" s="70"/>
      <c r="I210" s="71"/>
      <c r="J210" s="71"/>
      <c r="K210" s="35" t="s">
        <v>65</v>
      </c>
      <c r="L210" s="79">
        <v>210</v>
      </c>
      <c r="M210" s="79"/>
      <c r="N210" s="73"/>
      <c r="O210" s="90" t="s">
        <v>525</v>
      </c>
      <c r="P210" s="93">
        <v>44531.0315625</v>
      </c>
      <c r="Q210" s="90" t="s">
        <v>585</v>
      </c>
      <c r="R210" s="90"/>
      <c r="S210" s="90"/>
      <c r="T210" s="90"/>
      <c r="U210" s="90"/>
      <c r="V210" s="96" t="str">
        <f>HYPERLINK("https://abs.twimg.com/sticky/default_profile_images/default_profile_normal.png")</f>
        <v>https://abs.twimg.com/sticky/default_profile_images/default_profile_normal.png</v>
      </c>
      <c r="W210" s="93">
        <v>44531.0315625</v>
      </c>
      <c r="X210" s="100">
        <v>44531</v>
      </c>
      <c r="Y210" s="97" t="s">
        <v>801</v>
      </c>
      <c r="Z210" s="96" t="str">
        <f>HYPERLINK("https://twitter.com/eramaas/status/1465844458491195397")</f>
        <v>https://twitter.com/eramaas/status/1465844458491195397</v>
      </c>
      <c r="AA210" s="90"/>
      <c r="AB210" s="90"/>
      <c r="AC210" s="97" t="s">
        <v>1053</v>
      </c>
      <c r="AD210" s="90"/>
      <c r="AE210" s="90" t="b">
        <v>0</v>
      </c>
      <c r="AF210" s="90">
        <v>0</v>
      </c>
      <c r="AG210" s="97" t="s">
        <v>1338</v>
      </c>
      <c r="AH210" s="90" t="b">
        <v>0</v>
      </c>
      <c r="AI210" s="90" t="s">
        <v>1442</v>
      </c>
      <c r="AJ210" s="90"/>
      <c r="AK210" s="97" t="s">
        <v>1338</v>
      </c>
      <c r="AL210" s="90" t="b">
        <v>0</v>
      </c>
      <c r="AM210" s="90">
        <v>1</v>
      </c>
      <c r="AN210" s="97" t="s">
        <v>1052</v>
      </c>
      <c r="AO210" s="97" t="s">
        <v>1452</v>
      </c>
      <c r="AP210" s="90" t="b">
        <v>0</v>
      </c>
      <c r="AQ210" s="97" t="s">
        <v>1052</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4</v>
      </c>
      <c r="BE210" s="89" t="str">
        <f>REPLACE(INDEX(GroupVertices[Group],MATCH(Edges[[#This Row],[Vertex 2]],GroupVertices[Vertex],0)),1,1,"")</f>
        <v>4</v>
      </c>
      <c r="BF210" s="49">
        <v>0</v>
      </c>
      <c r="BG210" s="50">
        <v>0</v>
      </c>
      <c r="BH210" s="49">
        <v>0</v>
      </c>
      <c r="BI210" s="50">
        <v>0</v>
      </c>
      <c r="BJ210" s="49">
        <v>0</v>
      </c>
      <c r="BK210" s="50">
        <v>0</v>
      </c>
      <c r="BL210" s="49">
        <v>33</v>
      </c>
      <c r="BM210" s="50">
        <v>100</v>
      </c>
      <c r="BN210" s="49">
        <v>33</v>
      </c>
    </row>
    <row r="211" spans="1:66" ht="15">
      <c r="A211" s="65" t="s">
        <v>288</v>
      </c>
      <c r="B211" s="65" t="s">
        <v>288</v>
      </c>
      <c r="C211" s="66" t="s">
        <v>5817</v>
      </c>
      <c r="D211" s="67">
        <v>1</v>
      </c>
      <c r="E211" s="68" t="s">
        <v>132</v>
      </c>
      <c r="F211" s="69">
        <v>32</v>
      </c>
      <c r="G211" s="66" t="s">
        <v>51</v>
      </c>
      <c r="H211" s="70"/>
      <c r="I211" s="71"/>
      <c r="J211" s="71"/>
      <c r="K211" s="35" t="s">
        <v>65</v>
      </c>
      <c r="L211" s="79">
        <v>211</v>
      </c>
      <c r="M211" s="79"/>
      <c r="N211" s="73"/>
      <c r="O211" s="90" t="s">
        <v>522</v>
      </c>
      <c r="P211" s="93">
        <v>44531.0315625</v>
      </c>
      <c r="Q211" s="90" t="s">
        <v>585</v>
      </c>
      <c r="R211" s="90"/>
      <c r="S211" s="90"/>
      <c r="T211" s="90"/>
      <c r="U211" s="90"/>
      <c r="V211" s="96" t="str">
        <f>HYPERLINK("https://abs.twimg.com/sticky/default_profile_images/default_profile_normal.png")</f>
        <v>https://abs.twimg.com/sticky/default_profile_images/default_profile_normal.png</v>
      </c>
      <c r="W211" s="93">
        <v>44531.0315625</v>
      </c>
      <c r="X211" s="100">
        <v>44531</v>
      </c>
      <c r="Y211" s="97" t="s">
        <v>801</v>
      </c>
      <c r="Z211" s="96" t="str">
        <f>HYPERLINK("https://twitter.com/eramaas/status/1465844458491195397")</f>
        <v>https://twitter.com/eramaas/status/1465844458491195397</v>
      </c>
      <c r="AA211" s="90"/>
      <c r="AB211" s="90"/>
      <c r="AC211" s="97" t="s">
        <v>1053</v>
      </c>
      <c r="AD211" s="90"/>
      <c r="AE211" s="90" t="b">
        <v>0</v>
      </c>
      <c r="AF211" s="90">
        <v>0</v>
      </c>
      <c r="AG211" s="97" t="s">
        <v>1338</v>
      </c>
      <c r="AH211" s="90" t="b">
        <v>0</v>
      </c>
      <c r="AI211" s="90" t="s">
        <v>1442</v>
      </c>
      <c r="AJ211" s="90"/>
      <c r="AK211" s="97" t="s">
        <v>1338</v>
      </c>
      <c r="AL211" s="90" t="b">
        <v>0</v>
      </c>
      <c r="AM211" s="90">
        <v>1</v>
      </c>
      <c r="AN211" s="97" t="s">
        <v>1052</v>
      </c>
      <c r="AO211" s="97" t="s">
        <v>1452</v>
      </c>
      <c r="AP211" s="90" t="b">
        <v>0</v>
      </c>
      <c r="AQ211" s="97" t="s">
        <v>1052</v>
      </c>
      <c r="AR211" s="90" t="s">
        <v>187</v>
      </c>
      <c r="AS211" s="90">
        <v>0</v>
      </c>
      <c r="AT211" s="90">
        <v>0</v>
      </c>
      <c r="AU211" s="90"/>
      <c r="AV211" s="90"/>
      <c r="AW211" s="90"/>
      <c r="AX211" s="90"/>
      <c r="AY211" s="90"/>
      <c r="AZ211" s="90"/>
      <c r="BA211" s="90"/>
      <c r="BB211" s="90"/>
      <c r="BC211">
        <v>1</v>
      </c>
      <c r="BD211" s="89" t="str">
        <f>REPLACE(INDEX(GroupVertices[Group],MATCH(Edges[[#This Row],[Vertex 1]],GroupVertices[Vertex],0)),1,1,"")</f>
        <v>4</v>
      </c>
      <c r="BE211" s="89" t="str">
        <f>REPLACE(INDEX(GroupVertices[Group],MATCH(Edges[[#This Row],[Vertex 2]],GroupVertices[Vertex],0)),1,1,"")</f>
        <v>4</v>
      </c>
      <c r="BF211" s="49"/>
      <c r="BG211" s="50"/>
      <c r="BH211" s="49"/>
      <c r="BI211" s="50"/>
      <c r="BJ211" s="49"/>
      <c r="BK211" s="50"/>
      <c r="BL211" s="49"/>
      <c r="BM211" s="50"/>
      <c r="BN211" s="49"/>
    </row>
    <row r="212" spans="1:66" ht="15">
      <c r="A212" s="65" t="s">
        <v>288</v>
      </c>
      <c r="B212" s="65" t="s">
        <v>432</v>
      </c>
      <c r="C212" s="66" t="s">
        <v>5817</v>
      </c>
      <c r="D212" s="67">
        <v>1</v>
      </c>
      <c r="E212" s="68" t="s">
        <v>132</v>
      </c>
      <c r="F212" s="69">
        <v>32</v>
      </c>
      <c r="G212" s="66" t="s">
        <v>51</v>
      </c>
      <c r="H212" s="70"/>
      <c r="I212" s="71"/>
      <c r="J212" s="71"/>
      <c r="K212" s="35" t="s">
        <v>65</v>
      </c>
      <c r="L212" s="79">
        <v>212</v>
      </c>
      <c r="M212" s="79"/>
      <c r="N212" s="73"/>
      <c r="O212" s="90" t="s">
        <v>523</v>
      </c>
      <c r="P212" s="93">
        <v>44531.03258101852</v>
      </c>
      <c r="Q212" s="90" t="s">
        <v>593</v>
      </c>
      <c r="R212" s="90"/>
      <c r="S212" s="90"/>
      <c r="T212" s="90"/>
      <c r="U212" s="90"/>
      <c r="V212" s="96" t="str">
        <f>HYPERLINK("https://abs.twimg.com/sticky/default_profile_images/default_profile_normal.png")</f>
        <v>https://abs.twimg.com/sticky/default_profile_images/default_profile_normal.png</v>
      </c>
      <c r="W212" s="93">
        <v>44531.03258101852</v>
      </c>
      <c r="X212" s="100">
        <v>44531</v>
      </c>
      <c r="Y212" s="97" t="s">
        <v>809</v>
      </c>
      <c r="Z212" s="96" t="str">
        <f>HYPERLINK("https://twitter.com/eramaas/status/1465844828269387777")</f>
        <v>https://twitter.com/eramaas/status/1465844828269387777</v>
      </c>
      <c r="AA212" s="90"/>
      <c r="AB212" s="90"/>
      <c r="AC212" s="97" t="s">
        <v>1061</v>
      </c>
      <c r="AD212" s="97" t="s">
        <v>1268</v>
      </c>
      <c r="AE212" s="90" t="b">
        <v>0</v>
      </c>
      <c r="AF212" s="90">
        <v>0</v>
      </c>
      <c r="AG212" s="97" t="s">
        <v>1384</v>
      </c>
      <c r="AH212" s="90" t="b">
        <v>0</v>
      </c>
      <c r="AI212" s="90" t="s">
        <v>1442</v>
      </c>
      <c r="AJ212" s="90"/>
      <c r="AK212" s="97" t="s">
        <v>1338</v>
      </c>
      <c r="AL212" s="90" t="b">
        <v>0</v>
      </c>
      <c r="AM212" s="90">
        <v>0</v>
      </c>
      <c r="AN212" s="97" t="s">
        <v>1338</v>
      </c>
      <c r="AO212" s="97" t="s">
        <v>1452</v>
      </c>
      <c r="AP212" s="90" t="b">
        <v>0</v>
      </c>
      <c r="AQ212" s="97" t="s">
        <v>1268</v>
      </c>
      <c r="AR212" s="90" t="s">
        <v>187</v>
      </c>
      <c r="AS212" s="90">
        <v>0</v>
      </c>
      <c r="AT212" s="90">
        <v>0</v>
      </c>
      <c r="AU212" s="90"/>
      <c r="AV212" s="90"/>
      <c r="AW212" s="90"/>
      <c r="AX212" s="90"/>
      <c r="AY212" s="90"/>
      <c r="AZ212" s="90"/>
      <c r="BA212" s="90"/>
      <c r="BB212" s="90"/>
      <c r="BC212">
        <v>1</v>
      </c>
      <c r="BD212" s="89" t="str">
        <f>REPLACE(INDEX(GroupVertices[Group],MATCH(Edges[[#This Row],[Vertex 1]],GroupVertices[Vertex],0)),1,1,"")</f>
        <v>4</v>
      </c>
      <c r="BE212" s="89" t="str">
        <f>REPLACE(INDEX(GroupVertices[Group],MATCH(Edges[[#This Row],[Vertex 2]],GroupVertices[Vertex],0)),1,1,"")</f>
        <v>5</v>
      </c>
      <c r="BF212" s="49">
        <v>0</v>
      </c>
      <c r="BG212" s="50">
        <v>0</v>
      </c>
      <c r="BH212" s="49">
        <v>0</v>
      </c>
      <c r="BI212" s="50">
        <v>0</v>
      </c>
      <c r="BJ212" s="49">
        <v>0</v>
      </c>
      <c r="BK212" s="50">
        <v>0</v>
      </c>
      <c r="BL212" s="49">
        <v>27</v>
      </c>
      <c r="BM212" s="50">
        <v>100</v>
      </c>
      <c r="BN212" s="49">
        <v>27</v>
      </c>
    </row>
    <row r="213" spans="1:66" ht="15">
      <c r="A213" s="65" t="s">
        <v>290</v>
      </c>
      <c r="B213" s="65" t="s">
        <v>458</v>
      </c>
      <c r="C213" s="66" t="s">
        <v>5817</v>
      </c>
      <c r="D213" s="67">
        <v>1</v>
      </c>
      <c r="E213" s="68" t="s">
        <v>132</v>
      </c>
      <c r="F213" s="69">
        <v>32</v>
      </c>
      <c r="G213" s="66" t="s">
        <v>51</v>
      </c>
      <c r="H213" s="70"/>
      <c r="I213" s="71"/>
      <c r="J213" s="71"/>
      <c r="K213" s="35" t="s">
        <v>65</v>
      </c>
      <c r="L213" s="79">
        <v>213</v>
      </c>
      <c r="M213" s="79"/>
      <c r="N213" s="73"/>
      <c r="O213" s="90" t="s">
        <v>524</v>
      </c>
      <c r="P213" s="93">
        <v>44531.048425925925</v>
      </c>
      <c r="Q213" s="90" t="s">
        <v>594</v>
      </c>
      <c r="R213" s="96" t="str">
        <f>HYPERLINK("https://ivmmeta.com/")</f>
        <v>https://ivmmeta.com/</v>
      </c>
      <c r="S213" s="90" t="s">
        <v>698</v>
      </c>
      <c r="T213" s="90"/>
      <c r="U213" s="90"/>
      <c r="V213" s="96" t="str">
        <f>HYPERLINK("https://pbs.twimg.com/profile_images/1458126426700460033/VQQppSgg_normal.jpg")</f>
        <v>https://pbs.twimg.com/profile_images/1458126426700460033/VQQppSgg_normal.jpg</v>
      </c>
      <c r="W213" s="93">
        <v>44531.048425925925</v>
      </c>
      <c r="X213" s="100">
        <v>44531</v>
      </c>
      <c r="Y213" s="97" t="s">
        <v>810</v>
      </c>
      <c r="Z213" s="96" t="str">
        <f>HYPERLINK("https://twitter.com/laski77/status/1465850568442880008")</f>
        <v>https://twitter.com/laski77/status/1465850568442880008</v>
      </c>
      <c r="AA213" s="90"/>
      <c r="AB213" s="90"/>
      <c r="AC213" s="97" t="s">
        <v>1062</v>
      </c>
      <c r="AD213" s="97" t="s">
        <v>1269</v>
      </c>
      <c r="AE213" s="90" t="b">
        <v>0</v>
      </c>
      <c r="AF213" s="90">
        <v>0</v>
      </c>
      <c r="AG213" s="97" t="s">
        <v>1385</v>
      </c>
      <c r="AH213" s="90" t="b">
        <v>0</v>
      </c>
      <c r="AI213" s="90" t="s">
        <v>1442</v>
      </c>
      <c r="AJ213" s="90"/>
      <c r="AK213" s="97" t="s">
        <v>1338</v>
      </c>
      <c r="AL213" s="90" t="b">
        <v>0</v>
      </c>
      <c r="AM213" s="90">
        <v>0</v>
      </c>
      <c r="AN213" s="97" t="s">
        <v>1338</v>
      </c>
      <c r="AO213" s="97" t="s">
        <v>1452</v>
      </c>
      <c r="AP213" s="90" t="b">
        <v>0</v>
      </c>
      <c r="AQ213" s="97" t="s">
        <v>1269</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2</v>
      </c>
      <c r="BE213" s="89" t="str">
        <f>REPLACE(INDEX(GroupVertices[Group],MATCH(Edges[[#This Row],[Vertex 2]],GroupVertices[Vertex],0)),1,1,"")</f>
        <v>2</v>
      </c>
      <c r="BF213" s="49"/>
      <c r="BG213" s="50"/>
      <c r="BH213" s="49"/>
      <c r="BI213" s="50"/>
      <c r="BJ213" s="49"/>
      <c r="BK213" s="50"/>
      <c r="BL213" s="49"/>
      <c r="BM213" s="50"/>
      <c r="BN213" s="49"/>
    </row>
    <row r="214" spans="1:66" ht="15">
      <c r="A214" s="65" t="s">
        <v>290</v>
      </c>
      <c r="B214" s="65" t="s">
        <v>459</v>
      </c>
      <c r="C214" s="66" t="s">
        <v>5817</v>
      </c>
      <c r="D214" s="67">
        <v>1</v>
      </c>
      <c r="E214" s="68" t="s">
        <v>132</v>
      </c>
      <c r="F214" s="69">
        <v>32</v>
      </c>
      <c r="G214" s="66" t="s">
        <v>51</v>
      </c>
      <c r="H214" s="70"/>
      <c r="I214" s="71"/>
      <c r="J214" s="71"/>
      <c r="K214" s="35" t="s">
        <v>65</v>
      </c>
      <c r="L214" s="79">
        <v>214</v>
      </c>
      <c r="M214" s="79"/>
      <c r="N214" s="73"/>
      <c r="O214" s="90" t="s">
        <v>523</v>
      </c>
      <c r="P214" s="93">
        <v>44531.048425925925</v>
      </c>
      <c r="Q214" s="90" t="s">
        <v>594</v>
      </c>
      <c r="R214" s="96" t="str">
        <f>HYPERLINK("https://ivmmeta.com/")</f>
        <v>https://ivmmeta.com/</v>
      </c>
      <c r="S214" s="90" t="s">
        <v>698</v>
      </c>
      <c r="T214" s="90"/>
      <c r="U214" s="90"/>
      <c r="V214" s="96" t="str">
        <f>HYPERLINK("https://pbs.twimg.com/profile_images/1458126426700460033/VQQppSgg_normal.jpg")</f>
        <v>https://pbs.twimg.com/profile_images/1458126426700460033/VQQppSgg_normal.jpg</v>
      </c>
      <c r="W214" s="93">
        <v>44531.048425925925</v>
      </c>
      <c r="X214" s="100">
        <v>44531</v>
      </c>
      <c r="Y214" s="97" t="s">
        <v>810</v>
      </c>
      <c r="Z214" s="96" t="str">
        <f>HYPERLINK("https://twitter.com/laski77/status/1465850568442880008")</f>
        <v>https://twitter.com/laski77/status/1465850568442880008</v>
      </c>
      <c r="AA214" s="90"/>
      <c r="AB214" s="90"/>
      <c r="AC214" s="97" t="s">
        <v>1062</v>
      </c>
      <c r="AD214" s="97" t="s">
        <v>1269</v>
      </c>
      <c r="AE214" s="90" t="b">
        <v>0</v>
      </c>
      <c r="AF214" s="90">
        <v>0</v>
      </c>
      <c r="AG214" s="97" t="s">
        <v>1385</v>
      </c>
      <c r="AH214" s="90" t="b">
        <v>0</v>
      </c>
      <c r="AI214" s="90" t="s">
        <v>1442</v>
      </c>
      <c r="AJ214" s="90"/>
      <c r="AK214" s="97" t="s">
        <v>1338</v>
      </c>
      <c r="AL214" s="90" t="b">
        <v>0</v>
      </c>
      <c r="AM214" s="90">
        <v>0</v>
      </c>
      <c r="AN214" s="97" t="s">
        <v>1338</v>
      </c>
      <c r="AO214" s="97" t="s">
        <v>1452</v>
      </c>
      <c r="AP214" s="90" t="b">
        <v>0</v>
      </c>
      <c r="AQ214" s="97" t="s">
        <v>1269</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2</v>
      </c>
      <c r="BE214" s="89" t="str">
        <f>REPLACE(INDEX(GroupVertices[Group],MATCH(Edges[[#This Row],[Vertex 2]],GroupVertices[Vertex],0)),1,1,"")</f>
        <v>2</v>
      </c>
      <c r="BF214" s="49">
        <v>0</v>
      </c>
      <c r="BG214" s="50">
        <v>0</v>
      </c>
      <c r="BH214" s="49">
        <v>0</v>
      </c>
      <c r="BI214" s="50">
        <v>0</v>
      </c>
      <c r="BJ214" s="49">
        <v>0</v>
      </c>
      <c r="BK214" s="50">
        <v>0</v>
      </c>
      <c r="BL214" s="49">
        <v>28</v>
      </c>
      <c r="BM214" s="50">
        <v>100</v>
      </c>
      <c r="BN214" s="49">
        <v>28</v>
      </c>
    </row>
    <row r="215" spans="1:66" ht="15">
      <c r="A215" s="65" t="s">
        <v>291</v>
      </c>
      <c r="B215" s="65" t="s">
        <v>290</v>
      </c>
      <c r="C215" s="66" t="s">
        <v>5817</v>
      </c>
      <c r="D215" s="67">
        <v>1</v>
      </c>
      <c r="E215" s="68" t="s">
        <v>132</v>
      </c>
      <c r="F215" s="69">
        <v>32</v>
      </c>
      <c r="G215" s="66" t="s">
        <v>51</v>
      </c>
      <c r="H215" s="70"/>
      <c r="I215" s="71"/>
      <c r="J215" s="71"/>
      <c r="K215" s="35" t="s">
        <v>65</v>
      </c>
      <c r="L215" s="79">
        <v>215</v>
      </c>
      <c r="M215" s="79"/>
      <c r="N215" s="73"/>
      <c r="O215" s="90" t="s">
        <v>523</v>
      </c>
      <c r="P215" s="93">
        <v>44531.102175925924</v>
      </c>
      <c r="Q215" s="90" t="s">
        <v>595</v>
      </c>
      <c r="R215" s="96" t="str">
        <f>HYPERLINK("https://ebm.bmj.com/content/early/2021/05/26/bmjebm-2021-111678")</f>
        <v>https://ebm.bmj.com/content/early/2021/05/26/bmjebm-2021-111678</v>
      </c>
      <c r="S215" s="90" t="s">
        <v>699</v>
      </c>
      <c r="T215" s="90"/>
      <c r="U215" s="96" t="str">
        <f>HYPERLINK("https://pbs.twimg.com/media/FFfRCbCXMAA3OYy.jpg")</f>
        <v>https://pbs.twimg.com/media/FFfRCbCXMAA3OYy.jpg</v>
      </c>
      <c r="V215" s="96" t="str">
        <f>HYPERLINK("https://pbs.twimg.com/media/FFfRCbCXMAA3OYy.jpg")</f>
        <v>https://pbs.twimg.com/media/FFfRCbCXMAA3OYy.jpg</v>
      </c>
      <c r="W215" s="93">
        <v>44531.102175925924</v>
      </c>
      <c r="X215" s="100">
        <v>44531</v>
      </c>
      <c r="Y215" s="97" t="s">
        <v>811</v>
      </c>
      <c r="Z215" s="96" t="str">
        <f>HYPERLINK("https://twitter.com/f1nhammer/status/1465870045498822664")</f>
        <v>https://twitter.com/f1nhammer/status/1465870045498822664</v>
      </c>
      <c r="AA215" s="90"/>
      <c r="AB215" s="90"/>
      <c r="AC215" s="97" t="s">
        <v>1063</v>
      </c>
      <c r="AD215" s="97" t="s">
        <v>1062</v>
      </c>
      <c r="AE215" s="90" t="b">
        <v>0</v>
      </c>
      <c r="AF215" s="90">
        <v>4</v>
      </c>
      <c r="AG215" s="97" t="s">
        <v>1386</v>
      </c>
      <c r="AH215" s="90" t="b">
        <v>0</v>
      </c>
      <c r="AI215" s="90" t="s">
        <v>1442</v>
      </c>
      <c r="AJ215" s="90"/>
      <c r="AK215" s="97" t="s">
        <v>1338</v>
      </c>
      <c r="AL215" s="90" t="b">
        <v>0</v>
      </c>
      <c r="AM215" s="90">
        <v>0</v>
      </c>
      <c r="AN215" s="97" t="s">
        <v>1338</v>
      </c>
      <c r="AO215" s="97" t="s">
        <v>1452</v>
      </c>
      <c r="AP215" s="90" t="b">
        <v>0</v>
      </c>
      <c r="AQ215" s="97" t="s">
        <v>1062</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2</v>
      </c>
      <c r="BE215" s="89" t="str">
        <f>REPLACE(INDEX(GroupVertices[Group],MATCH(Edges[[#This Row],[Vertex 2]],GroupVertices[Vertex],0)),1,1,"")</f>
        <v>2</v>
      </c>
      <c r="BF215" s="49"/>
      <c r="BG215" s="50"/>
      <c r="BH215" s="49"/>
      <c r="BI215" s="50"/>
      <c r="BJ215" s="49"/>
      <c r="BK215" s="50"/>
      <c r="BL215" s="49"/>
      <c r="BM215" s="50"/>
      <c r="BN215" s="49"/>
    </row>
    <row r="216" spans="1:66" ht="15">
      <c r="A216" s="65" t="s">
        <v>291</v>
      </c>
      <c r="B216" s="65" t="s">
        <v>458</v>
      </c>
      <c r="C216" s="66" t="s">
        <v>5817</v>
      </c>
      <c r="D216" s="67">
        <v>1</v>
      </c>
      <c r="E216" s="68" t="s">
        <v>132</v>
      </c>
      <c r="F216" s="69">
        <v>32</v>
      </c>
      <c r="G216" s="66" t="s">
        <v>51</v>
      </c>
      <c r="H216" s="70"/>
      <c r="I216" s="71"/>
      <c r="J216" s="71"/>
      <c r="K216" s="35" t="s">
        <v>65</v>
      </c>
      <c r="L216" s="79">
        <v>216</v>
      </c>
      <c r="M216" s="79"/>
      <c r="N216" s="73"/>
      <c r="O216" s="90" t="s">
        <v>524</v>
      </c>
      <c r="P216" s="93">
        <v>44531.102175925924</v>
      </c>
      <c r="Q216" s="90" t="s">
        <v>595</v>
      </c>
      <c r="R216" s="96" t="str">
        <f>HYPERLINK("https://ebm.bmj.com/content/early/2021/05/26/bmjebm-2021-111678")</f>
        <v>https://ebm.bmj.com/content/early/2021/05/26/bmjebm-2021-111678</v>
      </c>
      <c r="S216" s="90" t="s">
        <v>699</v>
      </c>
      <c r="T216" s="90"/>
      <c r="U216" s="96" t="str">
        <f>HYPERLINK("https://pbs.twimg.com/media/FFfRCbCXMAA3OYy.jpg")</f>
        <v>https://pbs.twimg.com/media/FFfRCbCXMAA3OYy.jpg</v>
      </c>
      <c r="V216" s="96" t="str">
        <f>HYPERLINK("https://pbs.twimg.com/media/FFfRCbCXMAA3OYy.jpg")</f>
        <v>https://pbs.twimg.com/media/FFfRCbCXMAA3OYy.jpg</v>
      </c>
      <c r="W216" s="93">
        <v>44531.102175925924</v>
      </c>
      <c r="X216" s="100">
        <v>44531</v>
      </c>
      <c r="Y216" s="97" t="s">
        <v>811</v>
      </c>
      <c r="Z216" s="96" t="str">
        <f>HYPERLINK("https://twitter.com/f1nhammer/status/1465870045498822664")</f>
        <v>https://twitter.com/f1nhammer/status/1465870045498822664</v>
      </c>
      <c r="AA216" s="90"/>
      <c r="AB216" s="90"/>
      <c r="AC216" s="97" t="s">
        <v>1063</v>
      </c>
      <c r="AD216" s="97" t="s">
        <v>1062</v>
      </c>
      <c r="AE216" s="90" t="b">
        <v>0</v>
      </c>
      <c r="AF216" s="90">
        <v>4</v>
      </c>
      <c r="AG216" s="97" t="s">
        <v>1386</v>
      </c>
      <c r="AH216" s="90" t="b">
        <v>0</v>
      </c>
      <c r="AI216" s="90" t="s">
        <v>1442</v>
      </c>
      <c r="AJ216" s="90"/>
      <c r="AK216" s="97" t="s">
        <v>1338</v>
      </c>
      <c r="AL216" s="90" t="b">
        <v>0</v>
      </c>
      <c r="AM216" s="90">
        <v>0</v>
      </c>
      <c r="AN216" s="97" t="s">
        <v>1338</v>
      </c>
      <c r="AO216" s="97" t="s">
        <v>1452</v>
      </c>
      <c r="AP216" s="90" t="b">
        <v>0</v>
      </c>
      <c r="AQ216" s="97" t="s">
        <v>1062</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2</v>
      </c>
      <c r="BE216" s="89" t="str">
        <f>REPLACE(INDEX(GroupVertices[Group],MATCH(Edges[[#This Row],[Vertex 2]],GroupVertices[Vertex],0)),1,1,"")</f>
        <v>2</v>
      </c>
      <c r="BF216" s="49"/>
      <c r="BG216" s="50"/>
      <c r="BH216" s="49"/>
      <c r="BI216" s="50"/>
      <c r="BJ216" s="49"/>
      <c r="BK216" s="50"/>
      <c r="BL216" s="49"/>
      <c r="BM216" s="50"/>
      <c r="BN216" s="49"/>
    </row>
    <row r="217" spans="1:66" ht="15">
      <c r="A217" s="65" t="s">
        <v>291</v>
      </c>
      <c r="B217" s="65" t="s">
        <v>459</v>
      </c>
      <c r="C217" s="66" t="s">
        <v>5817</v>
      </c>
      <c r="D217" s="67">
        <v>1</v>
      </c>
      <c r="E217" s="68" t="s">
        <v>132</v>
      </c>
      <c r="F217" s="69">
        <v>32</v>
      </c>
      <c r="G217" s="66" t="s">
        <v>51</v>
      </c>
      <c r="H217" s="70"/>
      <c r="I217" s="71"/>
      <c r="J217" s="71"/>
      <c r="K217" s="35" t="s">
        <v>65</v>
      </c>
      <c r="L217" s="79">
        <v>217</v>
      </c>
      <c r="M217" s="79"/>
      <c r="N217" s="73"/>
      <c r="O217" s="90" t="s">
        <v>524</v>
      </c>
      <c r="P217" s="93">
        <v>44531.102175925924</v>
      </c>
      <c r="Q217" s="90" t="s">
        <v>595</v>
      </c>
      <c r="R217" s="96" t="str">
        <f>HYPERLINK("https://ebm.bmj.com/content/early/2021/05/26/bmjebm-2021-111678")</f>
        <v>https://ebm.bmj.com/content/early/2021/05/26/bmjebm-2021-111678</v>
      </c>
      <c r="S217" s="90" t="s">
        <v>699</v>
      </c>
      <c r="T217" s="90"/>
      <c r="U217" s="96" t="str">
        <f>HYPERLINK("https://pbs.twimg.com/media/FFfRCbCXMAA3OYy.jpg")</f>
        <v>https://pbs.twimg.com/media/FFfRCbCXMAA3OYy.jpg</v>
      </c>
      <c r="V217" s="96" t="str">
        <f>HYPERLINK("https://pbs.twimg.com/media/FFfRCbCXMAA3OYy.jpg")</f>
        <v>https://pbs.twimg.com/media/FFfRCbCXMAA3OYy.jpg</v>
      </c>
      <c r="W217" s="93">
        <v>44531.102175925924</v>
      </c>
      <c r="X217" s="100">
        <v>44531</v>
      </c>
      <c r="Y217" s="97" t="s">
        <v>811</v>
      </c>
      <c r="Z217" s="96" t="str">
        <f>HYPERLINK("https://twitter.com/f1nhammer/status/1465870045498822664")</f>
        <v>https://twitter.com/f1nhammer/status/1465870045498822664</v>
      </c>
      <c r="AA217" s="90"/>
      <c r="AB217" s="90"/>
      <c r="AC217" s="97" t="s">
        <v>1063</v>
      </c>
      <c r="AD217" s="97" t="s">
        <v>1062</v>
      </c>
      <c r="AE217" s="90" t="b">
        <v>0</v>
      </c>
      <c r="AF217" s="90">
        <v>4</v>
      </c>
      <c r="AG217" s="97" t="s">
        <v>1386</v>
      </c>
      <c r="AH217" s="90" t="b">
        <v>0</v>
      </c>
      <c r="AI217" s="90" t="s">
        <v>1442</v>
      </c>
      <c r="AJ217" s="90"/>
      <c r="AK217" s="97" t="s">
        <v>1338</v>
      </c>
      <c r="AL217" s="90" t="b">
        <v>0</v>
      </c>
      <c r="AM217" s="90">
        <v>0</v>
      </c>
      <c r="AN217" s="97" t="s">
        <v>1338</v>
      </c>
      <c r="AO217" s="97" t="s">
        <v>1452</v>
      </c>
      <c r="AP217" s="90" t="b">
        <v>0</v>
      </c>
      <c r="AQ217" s="97" t="s">
        <v>1062</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2</v>
      </c>
      <c r="BE217" s="89" t="str">
        <f>REPLACE(INDEX(GroupVertices[Group],MATCH(Edges[[#This Row],[Vertex 2]],GroupVertices[Vertex],0)),1,1,"")</f>
        <v>2</v>
      </c>
      <c r="BF217" s="49">
        <v>0</v>
      </c>
      <c r="BG217" s="50">
        <v>0</v>
      </c>
      <c r="BH217" s="49">
        <v>0</v>
      </c>
      <c r="BI217" s="50">
        <v>0</v>
      </c>
      <c r="BJ217" s="49">
        <v>0</v>
      </c>
      <c r="BK217" s="50">
        <v>0</v>
      </c>
      <c r="BL217" s="49">
        <v>9</v>
      </c>
      <c r="BM217" s="50">
        <v>100</v>
      </c>
      <c r="BN217" s="49">
        <v>9</v>
      </c>
    </row>
    <row r="218" spans="1:66" ht="15">
      <c r="A218" s="65" t="s">
        <v>292</v>
      </c>
      <c r="B218" s="65" t="s">
        <v>460</v>
      </c>
      <c r="C218" s="66" t="s">
        <v>5817</v>
      </c>
      <c r="D218" s="67">
        <v>1</v>
      </c>
      <c r="E218" s="68" t="s">
        <v>132</v>
      </c>
      <c r="F218" s="69">
        <v>32</v>
      </c>
      <c r="G218" s="66" t="s">
        <v>51</v>
      </c>
      <c r="H218" s="70"/>
      <c r="I218" s="71"/>
      <c r="J218" s="71"/>
      <c r="K218" s="35" t="s">
        <v>65</v>
      </c>
      <c r="L218" s="79">
        <v>218</v>
      </c>
      <c r="M218" s="79"/>
      <c r="N218" s="73"/>
      <c r="O218" s="90" t="s">
        <v>524</v>
      </c>
      <c r="P218" s="93">
        <v>44531.17802083334</v>
      </c>
      <c r="Q218" s="90" t="s">
        <v>596</v>
      </c>
      <c r="R218" s="96" t="str">
        <f>HYPERLINK("https://fi.wikipedia.org/wiki/Ivermektiini")</f>
        <v>https://fi.wikipedia.org/wiki/Ivermektiini</v>
      </c>
      <c r="S218" s="90" t="s">
        <v>700</v>
      </c>
      <c r="T218" s="90"/>
      <c r="U218" s="90"/>
      <c r="V218" s="96" t="str">
        <f>HYPERLINK("https://pbs.twimg.com/profile_images/378800000524029180/9159908f71fbde4047e7c061a4ee941d_normal.jpeg")</f>
        <v>https://pbs.twimg.com/profile_images/378800000524029180/9159908f71fbde4047e7c061a4ee941d_normal.jpeg</v>
      </c>
      <c r="W218" s="93">
        <v>44531.17802083334</v>
      </c>
      <c r="X218" s="100">
        <v>44531</v>
      </c>
      <c r="Y218" s="97" t="s">
        <v>812</v>
      </c>
      <c r="Z218" s="96" t="str">
        <f>HYPERLINK("https://twitter.com/penjussi/status/1465897533574717448")</f>
        <v>https://twitter.com/penjussi/status/1465897533574717448</v>
      </c>
      <c r="AA218" s="90"/>
      <c r="AB218" s="90"/>
      <c r="AC218" s="97" t="s">
        <v>1064</v>
      </c>
      <c r="AD218" s="97" t="s">
        <v>1270</v>
      </c>
      <c r="AE218" s="90" t="b">
        <v>0</v>
      </c>
      <c r="AF218" s="90">
        <v>0</v>
      </c>
      <c r="AG218" s="97" t="s">
        <v>1387</v>
      </c>
      <c r="AH218" s="90" t="b">
        <v>0</v>
      </c>
      <c r="AI218" s="90" t="s">
        <v>1443</v>
      </c>
      <c r="AJ218" s="90"/>
      <c r="AK218" s="97" t="s">
        <v>1338</v>
      </c>
      <c r="AL218" s="90" t="b">
        <v>0</v>
      </c>
      <c r="AM218" s="90">
        <v>0</v>
      </c>
      <c r="AN218" s="97" t="s">
        <v>1338</v>
      </c>
      <c r="AO218" s="97" t="s">
        <v>1450</v>
      </c>
      <c r="AP218" s="90" t="b">
        <v>0</v>
      </c>
      <c r="AQ218" s="97" t="s">
        <v>1270</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2</v>
      </c>
      <c r="BE218" s="89" t="str">
        <f>REPLACE(INDEX(GroupVertices[Group],MATCH(Edges[[#This Row],[Vertex 2]],GroupVertices[Vertex],0)),1,1,"")</f>
        <v>2</v>
      </c>
      <c r="BF218" s="49">
        <v>0</v>
      </c>
      <c r="BG218" s="50">
        <v>0</v>
      </c>
      <c r="BH218" s="49">
        <v>0</v>
      </c>
      <c r="BI218" s="50">
        <v>0</v>
      </c>
      <c r="BJ218" s="49">
        <v>0</v>
      </c>
      <c r="BK218" s="50">
        <v>0</v>
      </c>
      <c r="BL218" s="49">
        <v>4</v>
      </c>
      <c r="BM218" s="50">
        <v>100</v>
      </c>
      <c r="BN218" s="49">
        <v>4</v>
      </c>
    </row>
    <row r="219" spans="1:66" ht="15">
      <c r="A219" s="65" t="s">
        <v>292</v>
      </c>
      <c r="B219" s="65" t="s">
        <v>460</v>
      </c>
      <c r="C219" s="66" t="s">
        <v>5817</v>
      </c>
      <c r="D219" s="67">
        <v>1</v>
      </c>
      <c r="E219" s="68" t="s">
        <v>132</v>
      </c>
      <c r="F219" s="69">
        <v>32</v>
      </c>
      <c r="G219" s="66" t="s">
        <v>51</v>
      </c>
      <c r="H219" s="70"/>
      <c r="I219" s="71"/>
      <c r="J219" s="71"/>
      <c r="K219" s="35" t="s">
        <v>65</v>
      </c>
      <c r="L219" s="79">
        <v>219</v>
      </c>
      <c r="M219" s="79"/>
      <c r="N219" s="73"/>
      <c r="O219" s="90" t="s">
        <v>523</v>
      </c>
      <c r="P219" s="93">
        <v>44531.17821759259</v>
      </c>
      <c r="Q219" s="90" t="s">
        <v>597</v>
      </c>
      <c r="R219" s="96" t="str">
        <f>HYPERLINK("https://fi.wikipedia.org/wiki/Ivermektiini")</f>
        <v>https://fi.wikipedia.org/wiki/Ivermektiini</v>
      </c>
      <c r="S219" s="90" t="s">
        <v>700</v>
      </c>
      <c r="T219" s="90"/>
      <c r="U219" s="90"/>
      <c r="V219" s="96" t="str">
        <f>HYPERLINK("https://pbs.twimg.com/profile_images/378800000524029180/9159908f71fbde4047e7c061a4ee941d_normal.jpeg")</f>
        <v>https://pbs.twimg.com/profile_images/378800000524029180/9159908f71fbde4047e7c061a4ee941d_normal.jpeg</v>
      </c>
      <c r="W219" s="93">
        <v>44531.17821759259</v>
      </c>
      <c r="X219" s="100">
        <v>44531</v>
      </c>
      <c r="Y219" s="97" t="s">
        <v>813</v>
      </c>
      <c r="Z219" s="96" t="str">
        <f>HYPERLINK("https://twitter.com/penjussi/status/1465897602554150914")</f>
        <v>https://twitter.com/penjussi/status/1465897602554150914</v>
      </c>
      <c r="AA219" s="90"/>
      <c r="AB219" s="90"/>
      <c r="AC219" s="97" t="s">
        <v>1065</v>
      </c>
      <c r="AD219" s="97" t="s">
        <v>1271</v>
      </c>
      <c r="AE219" s="90" t="b">
        <v>0</v>
      </c>
      <c r="AF219" s="90">
        <v>0</v>
      </c>
      <c r="AG219" s="97" t="s">
        <v>1388</v>
      </c>
      <c r="AH219" s="90" t="b">
        <v>0</v>
      </c>
      <c r="AI219" s="90" t="s">
        <v>1443</v>
      </c>
      <c r="AJ219" s="90"/>
      <c r="AK219" s="97" t="s">
        <v>1338</v>
      </c>
      <c r="AL219" s="90" t="b">
        <v>0</v>
      </c>
      <c r="AM219" s="90">
        <v>0</v>
      </c>
      <c r="AN219" s="97" t="s">
        <v>1338</v>
      </c>
      <c r="AO219" s="97" t="s">
        <v>1450</v>
      </c>
      <c r="AP219" s="90" t="b">
        <v>0</v>
      </c>
      <c r="AQ219" s="97" t="s">
        <v>1271</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2</v>
      </c>
      <c r="BE219" s="89" t="str">
        <f>REPLACE(INDEX(GroupVertices[Group],MATCH(Edges[[#This Row],[Vertex 2]],GroupVertices[Vertex],0)),1,1,"")</f>
        <v>2</v>
      </c>
      <c r="BF219" s="49">
        <v>0</v>
      </c>
      <c r="BG219" s="50">
        <v>0</v>
      </c>
      <c r="BH219" s="49">
        <v>0</v>
      </c>
      <c r="BI219" s="50">
        <v>0</v>
      </c>
      <c r="BJ219" s="49">
        <v>0</v>
      </c>
      <c r="BK219" s="50">
        <v>0</v>
      </c>
      <c r="BL219" s="49">
        <v>3</v>
      </c>
      <c r="BM219" s="50">
        <v>100</v>
      </c>
      <c r="BN219" s="49">
        <v>3</v>
      </c>
    </row>
    <row r="220" spans="1:66" ht="15">
      <c r="A220" s="65" t="s">
        <v>293</v>
      </c>
      <c r="B220" s="65" t="s">
        <v>356</v>
      </c>
      <c r="C220" s="66" t="s">
        <v>5817</v>
      </c>
      <c r="D220" s="67">
        <v>1</v>
      </c>
      <c r="E220" s="68" t="s">
        <v>132</v>
      </c>
      <c r="F220" s="69">
        <v>32</v>
      </c>
      <c r="G220" s="66" t="s">
        <v>51</v>
      </c>
      <c r="H220" s="70"/>
      <c r="I220" s="71"/>
      <c r="J220" s="71"/>
      <c r="K220" s="35" t="s">
        <v>65</v>
      </c>
      <c r="L220" s="79">
        <v>220</v>
      </c>
      <c r="M220" s="79"/>
      <c r="N220" s="73"/>
      <c r="O220" s="90" t="s">
        <v>522</v>
      </c>
      <c r="P220" s="93">
        <v>44531.19398148148</v>
      </c>
      <c r="Q220" s="90" t="s">
        <v>583</v>
      </c>
      <c r="R220" s="96" t="str">
        <f>HYPERLINK("https://twitter.com/KorpinenLaura/status/1465773688918364174")</f>
        <v>https://twitter.com/KorpinenLaura/status/1465773688918364174</v>
      </c>
      <c r="S220" s="90" t="s">
        <v>693</v>
      </c>
      <c r="T220" s="97" t="s">
        <v>712</v>
      </c>
      <c r="U220" s="90"/>
      <c r="V220" s="96" t="str">
        <f>HYPERLINK("https://pbs.twimg.com/profile_images/1415571004072599552/ZaPgqb4X_normal.jpg")</f>
        <v>https://pbs.twimg.com/profile_images/1415571004072599552/ZaPgqb4X_normal.jpg</v>
      </c>
      <c r="W220" s="93">
        <v>44531.19398148148</v>
      </c>
      <c r="X220" s="100">
        <v>44531</v>
      </c>
      <c r="Y220" s="97" t="s">
        <v>814</v>
      </c>
      <c r="Z220" s="96" t="str">
        <f>HYPERLINK("https://twitter.com/universumin/status/1465903315129180164")</f>
        <v>https://twitter.com/universumin/status/1465903315129180164</v>
      </c>
      <c r="AA220" s="90"/>
      <c r="AB220" s="90"/>
      <c r="AC220" s="97" t="s">
        <v>1066</v>
      </c>
      <c r="AD220" s="90"/>
      <c r="AE220" s="90" t="b">
        <v>0</v>
      </c>
      <c r="AF220" s="90">
        <v>0</v>
      </c>
      <c r="AG220" s="97" t="s">
        <v>1338</v>
      </c>
      <c r="AH220" s="90" t="b">
        <v>1</v>
      </c>
      <c r="AI220" s="90" t="s">
        <v>1442</v>
      </c>
      <c r="AJ220" s="90"/>
      <c r="AK220" s="97" t="s">
        <v>1301</v>
      </c>
      <c r="AL220" s="90" t="b">
        <v>0</v>
      </c>
      <c r="AM220" s="90">
        <v>10</v>
      </c>
      <c r="AN220" s="97" t="s">
        <v>1171</v>
      </c>
      <c r="AO220" s="97" t="s">
        <v>1450</v>
      </c>
      <c r="AP220" s="90" t="b">
        <v>0</v>
      </c>
      <c r="AQ220" s="97" t="s">
        <v>1171</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1</v>
      </c>
      <c r="BE220" s="89" t="str">
        <f>REPLACE(INDEX(GroupVertices[Group],MATCH(Edges[[#This Row],[Vertex 2]],GroupVertices[Vertex],0)),1,1,"")</f>
        <v>1</v>
      </c>
      <c r="BF220" s="49">
        <v>0</v>
      </c>
      <c r="BG220" s="50">
        <v>0</v>
      </c>
      <c r="BH220" s="49">
        <v>0</v>
      </c>
      <c r="BI220" s="50">
        <v>0</v>
      </c>
      <c r="BJ220" s="49">
        <v>0</v>
      </c>
      <c r="BK220" s="50">
        <v>0</v>
      </c>
      <c r="BL220" s="49">
        <v>16</v>
      </c>
      <c r="BM220" s="50">
        <v>100</v>
      </c>
      <c r="BN220" s="49">
        <v>16</v>
      </c>
    </row>
    <row r="221" spans="1:66" ht="15">
      <c r="A221" s="65" t="s">
        <v>294</v>
      </c>
      <c r="B221" s="65" t="s">
        <v>303</v>
      </c>
      <c r="C221" s="66" t="s">
        <v>5817</v>
      </c>
      <c r="D221" s="67">
        <v>1</v>
      </c>
      <c r="E221" s="68" t="s">
        <v>132</v>
      </c>
      <c r="F221" s="69">
        <v>32</v>
      </c>
      <c r="G221" s="66" t="s">
        <v>51</v>
      </c>
      <c r="H221" s="70"/>
      <c r="I221" s="71"/>
      <c r="J221" s="71"/>
      <c r="K221" s="35" t="s">
        <v>65</v>
      </c>
      <c r="L221" s="79">
        <v>221</v>
      </c>
      <c r="M221" s="79"/>
      <c r="N221" s="73"/>
      <c r="O221" s="90" t="s">
        <v>522</v>
      </c>
      <c r="P221" s="93">
        <v>44531.20439814815</v>
      </c>
      <c r="Q221" s="90" t="s">
        <v>598</v>
      </c>
      <c r="R221" s="90"/>
      <c r="S221" s="90"/>
      <c r="T221" s="90"/>
      <c r="U221" s="90"/>
      <c r="V221" s="96" t="str">
        <f>HYPERLINK("https://abs.twimg.com/sticky/default_profile_images/default_profile_normal.png")</f>
        <v>https://abs.twimg.com/sticky/default_profile_images/default_profile_normal.png</v>
      </c>
      <c r="W221" s="93">
        <v>44531.20439814815</v>
      </c>
      <c r="X221" s="100">
        <v>44531</v>
      </c>
      <c r="Y221" s="97" t="s">
        <v>815</v>
      </c>
      <c r="Z221" s="96" t="str">
        <f>HYPERLINK("https://twitter.com/heikkivienonen1/status/1465907089688125445")</f>
        <v>https://twitter.com/heikkivienonen1/status/1465907089688125445</v>
      </c>
      <c r="AA221" s="90"/>
      <c r="AB221" s="90"/>
      <c r="AC221" s="97" t="s">
        <v>1067</v>
      </c>
      <c r="AD221" s="90"/>
      <c r="AE221" s="90" t="b">
        <v>0</v>
      </c>
      <c r="AF221" s="90">
        <v>0</v>
      </c>
      <c r="AG221" s="97" t="s">
        <v>1338</v>
      </c>
      <c r="AH221" s="90" t="b">
        <v>0</v>
      </c>
      <c r="AI221" s="90" t="s">
        <v>1442</v>
      </c>
      <c r="AJ221" s="90"/>
      <c r="AK221" s="97" t="s">
        <v>1338</v>
      </c>
      <c r="AL221" s="90" t="b">
        <v>0</v>
      </c>
      <c r="AM221" s="90">
        <v>5</v>
      </c>
      <c r="AN221" s="97" t="s">
        <v>1136</v>
      </c>
      <c r="AO221" s="97" t="s">
        <v>1452</v>
      </c>
      <c r="AP221" s="90" t="b">
        <v>0</v>
      </c>
      <c r="AQ221" s="97" t="s">
        <v>1136</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24</v>
      </c>
      <c r="BM221" s="50">
        <v>100</v>
      </c>
      <c r="BN221" s="49">
        <v>24</v>
      </c>
    </row>
    <row r="222" spans="1:66" ht="15">
      <c r="A222" s="65" t="s">
        <v>294</v>
      </c>
      <c r="B222" s="65" t="s">
        <v>338</v>
      </c>
      <c r="C222" s="66" t="s">
        <v>5817</v>
      </c>
      <c r="D222" s="67">
        <v>1</v>
      </c>
      <c r="E222" s="68" t="s">
        <v>132</v>
      </c>
      <c r="F222" s="69">
        <v>32</v>
      </c>
      <c r="G222" s="66" t="s">
        <v>51</v>
      </c>
      <c r="H222" s="70"/>
      <c r="I222" s="71"/>
      <c r="J222" s="71"/>
      <c r="K222" s="35" t="s">
        <v>65</v>
      </c>
      <c r="L222" s="79">
        <v>222</v>
      </c>
      <c r="M222" s="79"/>
      <c r="N222" s="73"/>
      <c r="O222" s="90" t="s">
        <v>523</v>
      </c>
      <c r="P222" s="93">
        <v>44531.20439814815</v>
      </c>
      <c r="Q222" s="90" t="s">
        <v>598</v>
      </c>
      <c r="R222" s="90"/>
      <c r="S222" s="90"/>
      <c r="T222" s="90"/>
      <c r="U222" s="90"/>
      <c r="V222" s="96" t="str">
        <f>HYPERLINK("https://abs.twimg.com/sticky/default_profile_images/default_profile_normal.png")</f>
        <v>https://abs.twimg.com/sticky/default_profile_images/default_profile_normal.png</v>
      </c>
      <c r="W222" s="93">
        <v>44531.20439814815</v>
      </c>
      <c r="X222" s="100">
        <v>44531</v>
      </c>
      <c r="Y222" s="97" t="s">
        <v>815</v>
      </c>
      <c r="Z222" s="96" t="str">
        <f>HYPERLINK("https://twitter.com/heikkivienonen1/status/1465907089688125445")</f>
        <v>https://twitter.com/heikkivienonen1/status/1465907089688125445</v>
      </c>
      <c r="AA222" s="90"/>
      <c r="AB222" s="90"/>
      <c r="AC222" s="97" t="s">
        <v>1067</v>
      </c>
      <c r="AD222" s="90"/>
      <c r="AE222" s="90" t="b">
        <v>0</v>
      </c>
      <c r="AF222" s="90">
        <v>0</v>
      </c>
      <c r="AG222" s="97" t="s">
        <v>1338</v>
      </c>
      <c r="AH222" s="90" t="b">
        <v>0</v>
      </c>
      <c r="AI222" s="90" t="s">
        <v>1442</v>
      </c>
      <c r="AJ222" s="90"/>
      <c r="AK222" s="97" t="s">
        <v>1338</v>
      </c>
      <c r="AL222" s="90" t="b">
        <v>0</v>
      </c>
      <c r="AM222" s="90">
        <v>5</v>
      </c>
      <c r="AN222" s="97" t="s">
        <v>1136</v>
      </c>
      <c r="AO222" s="97" t="s">
        <v>1452</v>
      </c>
      <c r="AP222" s="90" t="b">
        <v>0</v>
      </c>
      <c r="AQ222" s="97" t="s">
        <v>1136</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5" t="s">
        <v>267</v>
      </c>
      <c r="B223" s="65" t="s">
        <v>433</v>
      </c>
      <c r="C223" s="66" t="s">
        <v>5818</v>
      </c>
      <c r="D223" s="67">
        <v>1</v>
      </c>
      <c r="E223" s="68" t="s">
        <v>132</v>
      </c>
      <c r="F223" s="69">
        <v>32</v>
      </c>
      <c r="G223" s="66" t="s">
        <v>51</v>
      </c>
      <c r="H223" s="70"/>
      <c r="I223" s="71"/>
      <c r="J223" s="71"/>
      <c r="K223" s="35" t="s">
        <v>65</v>
      </c>
      <c r="L223" s="79">
        <v>223</v>
      </c>
      <c r="M223" s="79"/>
      <c r="N223" s="73"/>
      <c r="O223" s="90" t="s">
        <v>524</v>
      </c>
      <c r="P223" s="93">
        <v>44525.57212962963</v>
      </c>
      <c r="Q223" s="90" t="s">
        <v>526</v>
      </c>
      <c r="R223" s="96" t="str">
        <f>HYPERLINK("https://tfiglobalnews.com/2021/11/08/japan-crushes-big-pharma-with-a-small-yet-effective-move/")</f>
        <v>https://tfiglobalnews.com/2021/11/08/japan-crushes-big-pharma-with-a-small-yet-effective-move/</v>
      </c>
      <c r="S223" s="90" t="s">
        <v>689</v>
      </c>
      <c r="T223" s="90"/>
      <c r="U223" s="90"/>
      <c r="V223" s="96" t="str">
        <f>HYPERLINK("https://abs.twimg.com/sticky/default_profile_images/default_profile_normal.png")</f>
        <v>https://abs.twimg.com/sticky/default_profile_images/default_profile_normal.png</v>
      </c>
      <c r="W223" s="93">
        <v>44525.57212962963</v>
      </c>
      <c r="X223" s="100">
        <v>44525</v>
      </c>
      <c r="Y223" s="97" t="s">
        <v>816</v>
      </c>
      <c r="Z223" s="96" t="str">
        <f>HYPERLINK("https://twitter.com/petri190722231/status/1463866026907652103")</f>
        <v>https://twitter.com/petri190722231/status/1463866026907652103</v>
      </c>
      <c r="AA223" s="90"/>
      <c r="AB223" s="90"/>
      <c r="AC223" s="97" t="s">
        <v>1068</v>
      </c>
      <c r="AD223" s="97" t="s">
        <v>1272</v>
      </c>
      <c r="AE223" s="90" t="b">
        <v>0</v>
      </c>
      <c r="AF223" s="90">
        <v>6</v>
      </c>
      <c r="AG223" s="97" t="s">
        <v>1389</v>
      </c>
      <c r="AH223" s="90" t="b">
        <v>0</v>
      </c>
      <c r="AI223" s="90" t="s">
        <v>1442</v>
      </c>
      <c r="AJ223" s="90"/>
      <c r="AK223" s="97" t="s">
        <v>1338</v>
      </c>
      <c r="AL223" s="90" t="b">
        <v>0</v>
      </c>
      <c r="AM223" s="90">
        <v>3</v>
      </c>
      <c r="AN223" s="97" t="s">
        <v>1338</v>
      </c>
      <c r="AO223" s="97" t="s">
        <v>1450</v>
      </c>
      <c r="AP223" s="90" t="b">
        <v>0</v>
      </c>
      <c r="AQ223" s="97" t="s">
        <v>1272</v>
      </c>
      <c r="AR223" s="90" t="s">
        <v>522</v>
      </c>
      <c r="AS223" s="90">
        <v>0</v>
      </c>
      <c r="AT223" s="90">
        <v>0</v>
      </c>
      <c r="AU223" s="90"/>
      <c r="AV223" s="90"/>
      <c r="AW223" s="90"/>
      <c r="AX223" s="90"/>
      <c r="AY223" s="90"/>
      <c r="AZ223" s="90"/>
      <c r="BA223" s="90"/>
      <c r="BB223" s="90"/>
      <c r="BC223">
        <v>2</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5" t="s">
        <v>267</v>
      </c>
      <c r="B224" s="65" t="s">
        <v>433</v>
      </c>
      <c r="C224" s="66" t="s">
        <v>5818</v>
      </c>
      <c r="D224" s="67">
        <v>1</v>
      </c>
      <c r="E224" s="68" t="s">
        <v>132</v>
      </c>
      <c r="F224" s="69">
        <v>32</v>
      </c>
      <c r="G224" s="66" t="s">
        <v>51</v>
      </c>
      <c r="H224" s="70"/>
      <c r="I224" s="71"/>
      <c r="J224" s="71"/>
      <c r="K224" s="35" t="s">
        <v>65</v>
      </c>
      <c r="L224" s="79">
        <v>224</v>
      </c>
      <c r="M224" s="79"/>
      <c r="N224" s="73"/>
      <c r="O224" s="90" t="s">
        <v>524</v>
      </c>
      <c r="P224" s="93">
        <v>44525.83461805555</v>
      </c>
      <c r="Q224" s="90" t="s">
        <v>569</v>
      </c>
      <c r="R224" s="90"/>
      <c r="S224" s="90"/>
      <c r="T224" s="90"/>
      <c r="U224" s="90"/>
      <c r="V224" s="96" t="str">
        <f>HYPERLINK("https://abs.twimg.com/sticky/default_profile_images/default_profile_normal.png")</f>
        <v>https://abs.twimg.com/sticky/default_profile_images/default_profile_normal.png</v>
      </c>
      <c r="W224" s="93">
        <v>44525.83461805555</v>
      </c>
      <c r="X224" s="100">
        <v>44525</v>
      </c>
      <c r="Y224" s="97" t="s">
        <v>769</v>
      </c>
      <c r="Z224" s="96" t="str">
        <f>HYPERLINK("https://twitter.com/petri190722231/status/1463961148299042823")</f>
        <v>https://twitter.com/petri190722231/status/1463961148299042823</v>
      </c>
      <c r="AA224" s="90"/>
      <c r="AB224" s="90"/>
      <c r="AC224" s="97" t="s">
        <v>1021</v>
      </c>
      <c r="AD224" s="97" t="s">
        <v>1252</v>
      </c>
      <c r="AE224" s="90" t="b">
        <v>0</v>
      </c>
      <c r="AF224" s="90">
        <v>1</v>
      </c>
      <c r="AG224" s="97" t="s">
        <v>1369</v>
      </c>
      <c r="AH224" s="90" t="b">
        <v>0</v>
      </c>
      <c r="AI224" s="90" t="s">
        <v>1442</v>
      </c>
      <c r="AJ224" s="90"/>
      <c r="AK224" s="97" t="s">
        <v>1338</v>
      </c>
      <c r="AL224" s="90" t="b">
        <v>0</v>
      </c>
      <c r="AM224" s="90">
        <v>0</v>
      </c>
      <c r="AN224" s="97" t="s">
        <v>1338</v>
      </c>
      <c r="AO224" s="97" t="s">
        <v>1450</v>
      </c>
      <c r="AP224" s="90" t="b">
        <v>0</v>
      </c>
      <c r="AQ224" s="97" t="s">
        <v>1252</v>
      </c>
      <c r="AR224" s="90" t="s">
        <v>187</v>
      </c>
      <c r="AS224" s="90">
        <v>0</v>
      </c>
      <c r="AT224" s="90">
        <v>0</v>
      </c>
      <c r="AU224" s="90"/>
      <c r="AV224" s="90"/>
      <c r="AW224" s="90"/>
      <c r="AX224" s="90"/>
      <c r="AY224" s="90"/>
      <c r="AZ224" s="90"/>
      <c r="BA224" s="90"/>
      <c r="BB224" s="90"/>
      <c r="BC224">
        <v>2</v>
      </c>
      <c r="BD224" s="89" t="str">
        <f>REPLACE(INDEX(GroupVertices[Group],MATCH(Edges[[#This Row],[Vertex 1]],GroupVertices[Vertex],0)),1,1,"")</f>
        <v>1</v>
      </c>
      <c r="BE224" s="89" t="str">
        <f>REPLACE(INDEX(GroupVertices[Group],MATCH(Edges[[#This Row],[Vertex 2]],GroupVertices[Vertex],0)),1,1,"")</f>
        <v>1</v>
      </c>
      <c r="BF224" s="49"/>
      <c r="BG224" s="50"/>
      <c r="BH224" s="49"/>
      <c r="BI224" s="50"/>
      <c r="BJ224" s="49"/>
      <c r="BK224" s="50"/>
      <c r="BL224" s="49"/>
      <c r="BM224" s="50"/>
      <c r="BN224" s="49"/>
    </row>
    <row r="225" spans="1:66" ht="15">
      <c r="A225" s="65" t="s">
        <v>295</v>
      </c>
      <c r="B225" s="65" t="s">
        <v>433</v>
      </c>
      <c r="C225" s="66" t="s">
        <v>5817</v>
      </c>
      <c r="D225" s="67">
        <v>1</v>
      </c>
      <c r="E225" s="68" t="s">
        <v>132</v>
      </c>
      <c r="F225" s="69">
        <v>32</v>
      </c>
      <c r="G225" s="66" t="s">
        <v>51</v>
      </c>
      <c r="H225" s="70"/>
      <c r="I225" s="71"/>
      <c r="J225" s="71"/>
      <c r="K225" s="35" t="s">
        <v>65</v>
      </c>
      <c r="L225" s="79">
        <v>225</v>
      </c>
      <c r="M225" s="79"/>
      <c r="N225" s="73"/>
      <c r="O225" s="90" t="s">
        <v>525</v>
      </c>
      <c r="P225" s="93">
        <v>44525.663518518515</v>
      </c>
      <c r="Q225" s="90" t="s">
        <v>526</v>
      </c>
      <c r="R225" s="96" t="str">
        <f>HYPERLINK("https://tfiglobalnews.com/2021/11/08/japan-crushes-big-pharma-with-a-small-yet-effective-move/")</f>
        <v>https://tfiglobalnews.com/2021/11/08/japan-crushes-big-pharma-with-a-small-yet-effective-move/</v>
      </c>
      <c r="S225" s="90" t="s">
        <v>689</v>
      </c>
      <c r="T225" s="90"/>
      <c r="U225" s="90"/>
      <c r="V225" s="96" t="str">
        <f>HYPERLINK("https://pbs.twimg.com/profile_images/1460949338457350145/3L-YQZgw_normal.jpg")</f>
        <v>https://pbs.twimg.com/profile_images/1460949338457350145/3L-YQZgw_normal.jpg</v>
      </c>
      <c r="W225" s="93">
        <v>44525.663518518515</v>
      </c>
      <c r="X225" s="100">
        <v>44525</v>
      </c>
      <c r="Y225" s="97" t="s">
        <v>817</v>
      </c>
      <c r="Z225" s="96" t="str">
        <f>HYPERLINK("https://twitter.com/madetojastig/status/1463899143118761986")</f>
        <v>https://twitter.com/madetojastig/status/1463899143118761986</v>
      </c>
      <c r="AA225" s="90"/>
      <c r="AB225" s="90"/>
      <c r="AC225" s="97" t="s">
        <v>1069</v>
      </c>
      <c r="AD225" s="90"/>
      <c r="AE225" s="90" t="b">
        <v>0</v>
      </c>
      <c r="AF225" s="90">
        <v>0</v>
      </c>
      <c r="AG225" s="97" t="s">
        <v>1338</v>
      </c>
      <c r="AH225" s="90" t="b">
        <v>0</v>
      </c>
      <c r="AI225" s="90" t="s">
        <v>1442</v>
      </c>
      <c r="AJ225" s="90"/>
      <c r="AK225" s="97" t="s">
        <v>1338</v>
      </c>
      <c r="AL225" s="90" t="b">
        <v>0</v>
      </c>
      <c r="AM225" s="90">
        <v>3</v>
      </c>
      <c r="AN225" s="97" t="s">
        <v>1068</v>
      </c>
      <c r="AO225" s="97" t="s">
        <v>1450</v>
      </c>
      <c r="AP225" s="90" t="b">
        <v>0</v>
      </c>
      <c r="AQ225" s="97" t="s">
        <v>1068</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1</v>
      </c>
      <c r="BF225" s="49"/>
      <c r="BG225" s="50"/>
      <c r="BH225" s="49"/>
      <c r="BI225" s="50"/>
      <c r="BJ225" s="49"/>
      <c r="BK225" s="50"/>
      <c r="BL225" s="49"/>
      <c r="BM225" s="50"/>
      <c r="BN225" s="49"/>
    </row>
    <row r="226" spans="1:66" ht="15">
      <c r="A226" s="65" t="s">
        <v>267</v>
      </c>
      <c r="B226" s="65" t="s">
        <v>378</v>
      </c>
      <c r="C226" s="66" t="s">
        <v>5817</v>
      </c>
      <c r="D226" s="67">
        <v>1</v>
      </c>
      <c r="E226" s="68" t="s">
        <v>132</v>
      </c>
      <c r="F226" s="69">
        <v>32</v>
      </c>
      <c r="G226" s="66" t="s">
        <v>51</v>
      </c>
      <c r="H226" s="70"/>
      <c r="I226" s="71"/>
      <c r="J226" s="71"/>
      <c r="K226" s="35" t="s">
        <v>65</v>
      </c>
      <c r="L226" s="79">
        <v>226</v>
      </c>
      <c r="M226" s="79"/>
      <c r="N226" s="73"/>
      <c r="O226" s="90" t="s">
        <v>523</v>
      </c>
      <c r="P226" s="93">
        <v>44525.57212962963</v>
      </c>
      <c r="Q226" s="90" t="s">
        <v>526</v>
      </c>
      <c r="R226" s="96" t="str">
        <f>HYPERLINK("https://tfiglobalnews.com/2021/11/08/japan-crushes-big-pharma-with-a-small-yet-effective-move/")</f>
        <v>https://tfiglobalnews.com/2021/11/08/japan-crushes-big-pharma-with-a-small-yet-effective-move/</v>
      </c>
      <c r="S226" s="90" t="s">
        <v>689</v>
      </c>
      <c r="T226" s="90"/>
      <c r="U226" s="90"/>
      <c r="V226" s="96" t="str">
        <f>HYPERLINK("https://abs.twimg.com/sticky/default_profile_images/default_profile_normal.png")</f>
        <v>https://abs.twimg.com/sticky/default_profile_images/default_profile_normal.png</v>
      </c>
      <c r="W226" s="93">
        <v>44525.57212962963</v>
      </c>
      <c r="X226" s="100">
        <v>44525</v>
      </c>
      <c r="Y226" s="97" t="s">
        <v>816</v>
      </c>
      <c r="Z226" s="96" t="str">
        <f>HYPERLINK("https://twitter.com/petri190722231/status/1463866026907652103")</f>
        <v>https://twitter.com/petri190722231/status/1463866026907652103</v>
      </c>
      <c r="AA226" s="90"/>
      <c r="AB226" s="90"/>
      <c r="AC226" s="97" t="s">
        <v>1068</v>
      </c>
      <c r="AD226" s="97" t="s">
        <v>1272</v>
      </c>
      <c r="AE226" s="90" t="b">
        <v>0</v>
      </c>
      <c r="AF226" s="90">
        <v>6</v>
      </c>
      <c r="AG226" s="97" t="s">
        <v>1389</v>
      </c>
      <c r="AH226" s="90" t="b">
        <v>0</v>
      </c>
      <c r="AI226" s="90" t="s">
        <v>1442</v>
      </c>
      <c r="AJ226" s="90"/>
      <c r="AK226" s="97" t="s">
        <v>1338</v>
      </c>
      <c r="AL226" s="90" t="b">
        <v>0</v>
      </c>
      <c r="AM226" s="90">
        <v>3</v>
      </c>
      <c r="AN226" s="97" t="s">
        <v>1338</v>
      </c>
      <c r="AO226" s="97" t="s">
        <v>1450</v>
      </c>
      <c r="AP226" s="90" t="b">
        <v>0</v>
      </c>
      <c r="AQ226" s="97" t="s">
        <v>1272</v>
      </c>
      <c r="AR226" s="90" t="s">
        <v>522</v>
      </c>
      <c r="AS226" s="90">
        <v>0</v>
      </c>
      <c r="AT226" s="90">
        <v>0</v>
      </c>
      <c r="AU226" s="90"/>
      <c r="AV226" s="90"/>
      <c r="AW226" s="90"/>
      <c r="AX226" s="90"/>
      <c r="AY226" s="90"/>
      <c r="AZ226" s="90"/>
      <c r="BA226" s="90"/>
      <c r="BB226" s="90"/>
      <c r="BC226">
        <v>1</v>
      </c>
      <c r="BD226" s="89" t="str">
        <f>REPLACE(INDEX(GroupVertices[Group],MATCH(Edges[[#This Row],[Vertex 1]],GroupVertices[Vertex],0)),1,1,"")</f>
        <v>1</v>
      </c>
      <c r="BE226" s="89" t="str">
        <f>REPLACE(INDEX(GroupVertices[Group],MATCH(Edges[[#This Row],[Vertex 2]],GroupVertices[Vertex],0)),1,1,"")</f>
        <v>1</v>
      </c>
      <c r="BF226" s="49">
        <v>0</v>
      </c>
      <c r="BG226" s="50">
        <v>0</v>
      </c>
      <c r="BH226" s="49">
        <v>0</v>
      </c>
      <c r="BI226" s="50">
        <v>0</v>
      </c>
      <c r="BJ226" s="49">
        <v>0</v>
      </c>
      <c r="BK226" s="50">
        <v>0</v>
      </c>
      <c r="BL226" s="49">
        <v>29</v>
      </c>
      <c r="BM226" s="50">
        <v>100</v>
      </c>
      <c r="BN226" s="49">
        <v>29</v>
      </c>
    </row>
    <row r="227" spans="1:66" ht="15">
      <c r="A227" s="65" t="s">
        <v>267</v>
      </c>
      <c r="B227" s="65" t="s">
        <v>378</v>
      </c>
      <c r="C227" s="66" t="s">
        <v>5817</v>
      </c>
      <c r="D227" s="67">
        <v>1</v>
      </c>
      <c r="E227" s="68" t="s">
        <v>132</v>
      </c>
      <c r="F227" s="69">
        <v>32</v>
      </c>
      <c r="G227" s="66" t="s">
        <v>51</v>
      </c>
      <c r="H227" s="70"/>
      <c r="I227" s="71"/>
      <c r="J227" s="71"/>
      <c r="K227" s="35" t="s">
        <v>65</v>
      </c>
      <c r="L227" s="79">
        <v>227</v>
      </c>
      <c r="M227" s="79"/>
      <c r="N227" s="73"/>
      <c r="O227" s="90" t="s">
        <v>524</v>
      </c>
      <c r="P227" s="93">
        <v>44525.83461805555</v>
      </c>
      <c r="Q227" s="90" t="s">
        <v>569</v>
      </c>
      <c r="R227" s="90"/>
      <c r="S227" s="90"/>
      <c r="T227" s="90"/>
      <c r="U227" s="90"/>
      <c r="V227" s="96" t="str">
        <f>HYPERLINK("https://abs.twimg.com/sticky/default_profile_images/default_profile_normal.png")</f>
        <v>https://abs.twimg.com/sticky/default_profile_images/default_profile_normal.png</v>
      </c>
      <c r="W227" s="93">
        <v>44525.83461805555</v>
      </c>
      <c r="X227" s="100">
        <v>44525</v>
      </c>
      <c r="Y227" s="97" t="s">
        <v>769</v>
      </c>
      <c r="Z227" s="96" t="str">
        <f>HYPERLINK("https://twitter.com/petri190722231/status/1463961148299042823")</f>
        <v>https://twitter.com/petri190722231/status/1463961148299042823</v>
      </c>
      <c r="AA227" s="90"/>
      <c r="AB227" s="90"/>
      <c r="AC227" s="97" t="s">
        <v>1021</v>
      </c>
      <c r="AD227" s="97" t="s">
        <v>1252</v>
      </c>
      <c r="AE227" s="90" t="b">
        <v>0</v>
      </c>
      <c r="AF227" s="90">
        <v>1</v>
      </c>
      <c r="AG227" s="97" t="s">
        <v>1369</v>
      </c>
      <c r="AH227" s="90" t="b">
        <v>0</v>
      </c>
      <c r="AI227" s="90" t="s">
        <v>1442</v>
      </c>
      <c r="AJ227" s="90"/>
      <c r="AK227" s="97" t="s">
        <v>1338</v>
      </c>
      <c r="AL227" s="90" t="b">
        <v>0</v>
      </c>
      <c r="AM227" s="90">
        <v>0</v>
      </c>
      <c r="AN227" s="97" t="s">
        <v>1338</v>
      </c>
      <c r="AO227" s="97" t="s">
        <v>1450</v>
      </c>
      <c r="AP227" s="90" t="b">
        <v>0</v>
      </c>
      <c r="AQ227" s="97" t="s">
        <v>1252</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267</v>
      </c>
      <c r="B228" s="65" t="s">
        <v>461</v>
      </c>
      <c r="C228" s="66" t="s">
        <v>5817</v>
      </c>
      <c r="D228" s="67">
        <v>1</v>
      </c>
      <c r="E228" s="68" t="s">
        <v>132</v>
      </c>
      <c r="F228" s="69">
        <v>32</v>
      </c>
      <c r="G228" s="66" t="s">
        <v>51</v>
      </c>
      <c r="H228" s="70"/>
      <c r="I228" s="71"/>
      <c r="J228" s="71"/>
      <c r="K228" s="35" t="s">
        <v>65</v>
      </c>
      <c r="L228" s="79">
        <v>228</v>
      </c>
      <c r="M228" s="79"/>
      <c r="N228" s="73"/>
      <c r="O228" s="90" t="s">
        <v>523</v>
      </c>
      <c r="P228" s="93">
        <v>44530.18400462963</v>
      </c>
      <c r="Q228" s="90" t="s">
        <v>571</v>
      </c>
      <c r="R228" s="90"/>
      <c r="S228" s="90"/>
      <c r="T228" s="90"/>
      <c r="U228" s="96" t="str">
        <f>HYPERLINK("https://pbs.twimg.com/media/FFaiXIsWYAIgfTY.png")</f>
        <v>https://pbs.twimg.com/media/FFaiXIsWYAIgfTY.png</v>
      </c>
      <c r="V228" s="96" t="str">
        <f>HYPERLINK("https://pbs.twimg.com/media/FFaiXIsWYAIgfTY.png")</f>
        <v>https://pbs.twimg.com/media/FFaiXIsWYAIgfTY.png</v>
      </c>
      <c r="W228" s="93">
        <v>44530.18400462963</v>
      </c>
      <c r="X228" s="100">
        <v>44530</v>
      </c>
      <c r="Y228" s="97" t="s">
        <v>771</v>
      </c>
      <c r="Z228" s="96" t="str">
        <f>HYPERLINK("https://twitter.com/petri190722231/status/1465537311521845249")</f>
        <v>https://twitter.com/petri190722231/status/1465537311521845249</v>
      </c>
      <c r="AA228" s="90"/>
      <c r="AB228" s="90"/>
      <c r="AC228" s="97" t="s">
        <v>1023</v>
      </c>
      <c r="AD228" s="97" t="s">
        <v>1254</v>
      </c>
      <c r="AE228" s="90" t="b">
        <v>0</v>
      </c>
      <c r="AF228" s="90">
        <v>0</v>
      </c>
      <c r="AG228" s="97" t="s">
        <v>1371</v>
      </c>
      <c r="AH228" s="90" t="b">
        <v>0</v>
      </c>
      <c r="AI228" s="90" t="s">
        <v>1442</v>
      </c>
      <c r="AJ228" s="90"/>
      <c r="AK228" s="97" t="s">
        <v>1338</v>
      </c>
      <c r="AL228" s="90" t="b">
        <v>0</v>
      </c>
      <c r="AM228" s="90">
        <v>0</v>
      </c>
      <c r="AN228" s="97" t="s">
        <v>1338</v>
      </c>
      <c r="AO228" s="97" t="s">
        <v>1450</v>
      </c>
      <c r="AP228" s="90" t="b">
        <v>0</v>
      </c>
      <c r="AQ228" s="97" t="s">
        <v>1254</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18</v>
      </c>
      <c r="BF228" s="49">
        <v>0</v>
      </c>
      <c r="BG228" s="50">
        <v>0</v>
      </c>
      <c r="BH228" s="49">
        <v>0</v>
      </c>
      <c r="BI228" s="50">
        <v>0</v>
      </c>
      <c r="BJ228" s="49">
        <v>0</v>
      </c>
      <c r="BK228" s="50">
        <v>0</v>
      </c>
      <c r="BL228" s="49">
        <v>6</v>
      </c>
      <c r="BM228" s="50">
        <v>100</v>
      </c>
      <c r="BN228" s="49">
        <v>6</v>
      </c>
    </row>
    <row r="229" spans="1:66" ht="15">
      <c r="A229" s="65" t="s">
        <v>295</v>
      </c>
      <c r="B229" s="65" t="s">
        <v>267</v>
      </c>
      <c r="C229" s="66" t="s">
        <v>5817</v>
      </c>
      <c r="D229" s="67">
        <v>1</v>
      </c>
      <c r="E229" s="68" t="s">
        <v>132</v>
      </c>
      <c r="F229" s="69">
        <v>32</v>
      </c>
      <c r="G229" s="66" t="s">
        <v>51</v>
      </c>
      <c r="H229" s="70"/>
      <c r="I229" s="71"/>
      <c r="J229" s="71"/>
      <c r="K229" s="35" t="s">
        <v>65</v>
      </c>
      <c r="L229" s="79">
        <v>229</v>
      </c>
      <c r="M229" s="79"/>
      <c r="N229" s="73"/>
      <c r="O229" s="90" t="s">
        <v>522</v>
      </c>
      <c r="P229" s="93">
        <v>44525.663518518515</v>
      </c>
      <c r="Q229" s="90" t="s">
        <v>526</v>
      </c>
      <c r="R229" s="96" t="str">
        <f>HYPERLINK("https://tfiglobalnews.com/2021/11/08/japan-crushes-big-pharma-with-a-small-yet-effective-move/")</f>
        <v>https://tfiglobalnews.com/2021/11/08/japan-crushes-big-pharma-with-a-small-yet-effective-move/</v>
      </c>
      <c r="S229" s="90" t="s">
        <v>689</v>
      </c>
      <c r="T229" s="90"/>
      <c r="U229" s="90"/>
      <c r="V229" s="96" t="str">
        <f>HYPERLINK("https://pbs.twimg.com/profile_images/1460949338457350145/3L-YQZgw_normal.jpg")</f>
        <v>https://pbs.twimg.com/profile_images/1460949338457350145/3L-YQZgw_normal.jpg</v>
      </c>
      <c r="W229" s="93">
        <v>44525.663518518515</v>
      </c>
      <c r="X229" s="100">
        <v>44525</v>
      </c>
      <c r="Y229" s="97" t="s">
        <v>817</v>
      </c>
      <c r="Z229" s="96" t="str">
        <f>HYPERLINK("https://twitter.com/madetojastig/status/1463899143118761986")</f>
        <v>https://twitter.com/madetojastig/status/1463899143118761986</v>
      </c>
      <c r="AA229" s="90"/>
      <c r="AB229" s="90"/>
      <c r="AC229" s="97" t="s">
        <v>1069</v>
      </c>
      <c r="AD229" s="90"/>
      <c r="AE229" s="90" t="b">
        <v>0</v>
      </c>
      <c r="AF229" s="90">
        <v>0</v>
      </c>
      <c r="AG229" s="97" t="s">
        <v>1338</v>
      </c>
      <c r="AH229" s="90" t="b">
        <v>0</v>
      </c>
      <c r="AI229" s="90" t="s">
        <v>1442</v>
      </c>
      <c r="AJ229" s="90"/>
      <c r="AK229" s="97" t="s">
        <v>1338</v>
      </c>
      <c r="AL229" s="90" t="b">
        <v>0</v>
      </c>
      <c r="AM229" s="90">
        <v>3</v>
      </c>
      <c r="AN229" s="97" t="s">
        <v>1068</v>
      </c>
      <c r="AO229" s="97" t="s">
        <v>1450</v>
      </c>
      <c r="AP229" s="90" t="b">
        <v>0</v>
      </c>
      <c r="AQ229" s="97" t="s">
        <v>1068</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c r="BG229" s="50"/>
      <c r="BH229" s="49"/>
      <c r="BI229" s="50"/>
      <c r="BJ229" s="49"/>
      <c r="BK229" s="50"/>
      <c r="BL229" s="49"/>
      <c r="BM229" s="50"/>
      <c r="BN229" s="49"/>
    </row>
    <row r="230" spans="1:66" ht="15">
      <c r="A230" s="65" t="s">
        <v>295</v>
      </c>
      <c r="B230" s="65" t="s">
        <v>378</v>
      </c>
      <c r="C230" s="66" t="s">
        <v>5817</v>
      </c>
      <c r="D230" s="67">
        <v>1</v>
      </c>
      <c r="E230" s="68" t="s">
        <v>132</v>
      </c>
      <c r="F230" s="69">
        <v>32</v>
      </c>
      <c r="G230" s="66" t="s">
        <v>51</v>
      </c>
      <c r="H230" s="70"/>
      <c r="I230" s="71"/>
      <c r="J230" s="71"/>
      <c r="K230" s="35" t="s">
        <v>65</v>
      </c>
      <c r="L230" s="79">
        <v>230</v>
      </c>
      <c r="M230" s="79"/>
      <c r="N230" s="73"/>
      <c r="O230" s="90" t="s">
        <v>523</v>
      </c>
      <c r="P230" s="93">
        <v>44525.663518518515</v>
      </c>
      <c r="Q230" s="90" t="s">
        <v>526</v>
      </c>
      <c r="R230" s="96" t="str">
        <f>HYPERLINK("https://tfiglobalnews.com/2021/11/08/japan-crushes-big-pharma-with-a-small-yet-effective-move/")</f>
        <v>https://tfiglobalnews.com/2021/11/08/japan-crushes-big-pharma-with-a-small-yet-effective-move/</v>
      </c>
      <c r="S230" s="90" t="s">
        <v>689</v>
      </c>
      <c r="T230" s="90"/>
      <c r="U230" s="90"/>
      <c r="V230" s="96" t="str">
        <f>HYPERLINK("https://pbs.twimg.com/profile_images/1460949338457350145/3L-YQZgw_normal.jpg")</f>
        <v>https://pbs.twimg.com/profile_images/1460949338457350145/3L-YQZgw_normal.jpg</v>
      </c>
      <c r="W230" s="93">
        <v>44525.663518518515</v>
      </c>
      <c r="X230" s="100">
        <v>44525</v>
      </c>
      <c r="Y230" s="97" t="s">
        <v>817</v>
      </c>
      <c r="Z230" s="96" t="str">
        <f>HYPERLINK("https://twitter.com/madetojastig/status/1463899143118761986")</f>
        <v>https://twitter.com/madetojastig/status/1463899143118761986</v>
      </c>
      <c r="AA230" s="90"/>
      <c r="AB230" s="90"/>
      <c r="AC230" s="97" t="s">
        <v>1069</v>
      </c>
      <c r="AD230" s="90"/>
      <c r="AE230" s="90" t="b">
        <v>0</v>
      </c>
      <c r="AF230" s="90">
        <v>0</v>
      </c>
      <c r="AG230" s="97" t="s">
        <v>1338</v>
      </c>
      <c r="AH230" s="90" t="b">
        <v>0</v>
      </c>
      <c r="AI230" s="90" t="s">
        <v>1442</v>
      </c>
      <c r="AJ230" s="90"/>
      <c r="AK230" s="97" t="s">
        <v>1338</v>
      </c>
      <c r="AL230" s="90" t="b">
        <v>0</v>
      </c>
      <c r="AM230" s="90">
        <v>3</v>
      </c>
      <c r="AN230" s="97" t="s">
        <v>1068</v>
      </c>
      <c r="AO230" s="97" t="s">
        <v>1450</v>
      </c>
      <c r="AP230" s="90" t="b">
        <v>0</v>
      </c>
      <c r="AQ230" s="97" t="s">
        <v>1068</v>
      </c>
      <c r="AR230" s="90" t="s">
        <v>187</v>
      </c>
      <c r="AS230" s="90">
        <v>0</v>
      </c>
      <c r="AT230" s="90">
        <v>0</v>
      </c>
      <c r="AU230" s="90"/>
      <c r="AV230" s="90"/>
      <c r="AW230" s="90"/>
      <c r="AX230" s="90"/>
      <c r="AY230" s="90"/>
      <c r="AZ230" s="90"/>
      <c r="BA230" s="90"/>
      <c r="BB230" s="90"/>
      <c r="BC230">
        <v>1</v>
      </c>
      <c r="BD230" s="89" t="str">
        <f>REPLACE(INDEX(GroupVertices[Group],MATCH(Edges[[#This Row],[Vertex 1]],GroupVertices[Vertex],0)),1,1,"")</f>
        <v>1</v>
      </c>
      <c r="BE230" s="89" t="str">
        <f>REPLACE(INDEX(GroupVertices[Group],MATCH(Edges[[#This Row],[Vertex 2]],GroupVertices[Vertex],0)),1,1,"")</f>
        <v>1</v>
      </c>
      <c r="BF230" s="49">
        <v>0</v>
      </c>
      <c r="BG230" s="50">
        <v>0</v>
      </c>
      <c r="BH230" s="49">
        <v>0</v>
      </c>
      <c r="BI230" s="50">
        <v>0</v>
      </c>
      <c r="BJ230" s="49">
        <v>0</v>
      </c>
      <c r="BK230" s="50">
        <v>0</v>
      </c>
      <c r="BL230" s="49">
        <v>29</v>
      </c>
      <c r="BM230" s="50">
        <v>100</v>
      </c>
      <c r="BN230" s="49">
        <v>29</v>
      </c>
    </row>
    <row r="231" spans="1:66" ht="15">
      <c r="A231" s="65" t="s">
        <v>296</v>
      </c>
      <c r="B231" s="65" t="s">
        <v>430</v>
      </c>
      <c r="C231" s="66" t="s">
        <v>5817</v>
      </c>
      <c r="D231" s="67">
        <v>1</v>
      </c>
      <c r="E231" s="68" t="s">
        <v>132</v>
      </c>
      <c r="F231" s="69">
        <v>32</v>
      </c>
      <c r="G231" s="66" t="s">
        <v>51</v>
      </c>
      <c r="H231" s="70"/>
      <c r="I231" s="71"/>
      <c r="J231" s="71"/>
      <c r="K231" s="35" t="s">
        <v>65</v>
      </c>
      <c r="L231" s="79">
        <v>231</v>
      </c>
      <c r="M231" s="79"/>
      <c r="N231" s="73"/>
      <c r="O231" s="90" t="s">
        <v>525</v>
      </c>
      <c r="P231" s="93">
        <v>44531.21994212963</v>
      </c>
      <c r="Q231" s="90" t="s">
        <v>576</v>
      </c>
      <c r="R231" s="90"/>
      <c r="S231" s="90"/>
      <c r="T231" s="97" t="s">
        <v>712</v>
      </c>
      <c r="U231" s="96" t="str">
        <f>HYPERLINK("https://pbs.twimg.com/media/FFc5qVTVQAkWXE2.jpg")</f>
        <v>https://pbs.twimg.com/media/FFc5qVTVQAkWXE2.jpg</v>
      </c>
      <c r="V231" s="96" t="str">
        <f>HYPERLINK("https://pbs.twimg.com/media/FFc5qVTVQAkWXE2.jpg")</f>
        <v>https://pbs.twimg.com/media/FFc5qVTVQAkWXE2.jpg</v>
      </c>
      <c r="W231" s="93">
        <v>44531.21994212963</v>
      </c>
      <c r="X231" s="100">
        <v>44531</v>
      </c>
      <c r="Y231" s="97" t="s">
        <v>818</v>
      </c>
      <c r="Z231" s="96" t="str">
        <f>HYPERLINK("https://twitter.com/vyyhdinpurkaja/status/1465912723418628108")</f>
        <v>https://twitter.com/vyyhdinpurkaja/status/1465912723418628108</v>
      </c>
      <c r="AA231" s="90"/>
      <c r="AB231" s="90"/>
      <c r="AC231" s="97" t="s">
        <v>1070</v>
      </c>
      <c r="AD231" s="90"/>
      <c r="AE231" s="90" t="b">
        <v>0</v>
      </c>
      <c r="AF231" s="90">
        <v>0</v>
      </c>
      <c r="AG231" s="97" t="s">
        <v>1338</v>
      </c>
      <c r="AH231" s="90" t="b">
        <v>0</v>
      </c>
      <c r="AI231" s="90" t="s">
        <v>1442</v>
      </c>
      <c r="AJ231" s="90"/>
      <c r="AK231" s="97" t="s">
        <v>1338</v>
      </c>
      <c r="AL231" s="90" t="b">
        <v>0</v>
      </c>
      <c r="AM231" s="90">
        <v>18</v>
      </c>
      <c r="AN231" s="97" t="s">
        <v>1196</v>
      </c>
      <c r="AO231" s="97" t="s">
        <v>1452</v>
      </c>
      <c r="AP231" s="90" t="b">
        <v>0</v>
      </c>
      <c r="AQ231" s="97" t="s">
        <v>1196</v>
      </c>
      <c r="AR231" s="90" t="s">
        <v>187</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9"/>
      <c r="BG231" s="50"/>
      <c r="BH231" s="49"/>
      <c r="BI231" s="50"/>
      <c r="BJ231" s="49"/>
      <c r="BK231" s="50"/>
      <c r="BL231" s="49"/>
      <c r="BM231" s="50"/>
      <c r="BN231" s="49"/>
    </row>
    <row r="232" spans="1:66" ht="15">
      <c r="A232" s="65" t="s">
        <v>296</v>
      </c>
      <c r="B232" s="65" t="s">
        <v>431</v>
      </c>
      <c r="C232" s="66" t="s">
        <v>5817</v>
      </c>
      <c r="D232" s="67">
        <v>1</v>
      </c>
      <c r="E232" s="68" t="s">
        <v>132</v>
      </c>
      <c r="F232" s="69">
        <v>32</v>
      </c>
      <c r="G232" s="66" t="s">
        <v>51</v>
      </c>
      <c r="H232" s="70"/>
      <c r="I232" s="71"/>
      <c r="J232" s="71"/>
      <c r="K232" s="35" t="s">
        <v>65</v>
      </c>
      <c r="L232" s="79">
        <v>232</v>
      </c>
      <c r="M232" s="79"/>
      <c r="N232" s="73"/>
      <c r="O232" s="90" t="s">
        <v>525</v>
      </c>
      <c r="P232" s="93">
        <v>44531.21994212963</v>
      </c>
      <c r="Q232" s="90" t="s">
        <v>576</v>
      </c>
      <c r="R232" s="90"/>
      <c r="S232" s="90"/>
      <c r="T232" s="97" t="s">
        <v>712</v>
      </c>
      <c r="U232" s="96" t="str">
        <f>HYPERLINK("https://pbs.twimg.com/media/FFc5qVTVQAkWXE2.jpg")</f>
        <v>https://pbs.twimg.com/media/FFc5qVTVQAkWXE2.jpg</v>
      </c>
      <c r="V232" s="96" t="str">
        <f>HYPERLINK("https://pbs.twimg.com/media/FFc5qVTVQAkWXE2.jpg")</f>
        <v>https://pbs.twimg.com/media/FFc5qVTVQAkWXE2.jpg</v>
      </c>
      <c r="W232" s="93">
        <v>44531.21994212963</v>
      </c>
      <c r="X232" s="100">
        <v>44531</v>
      </c>
      <c r="Y232" s="97" t="s">
        <v>818</v>
      </c>
      <c r="Z232" s="96" t="str">
        <f>HYPERLINK("https://twitter.com/vyyhdinpurkaja/status/1465912723418628108")</f>
        <v>https://twitter.com/vyyhdinpurkaja/status/1465912723418628108</v>
      </c>
      <c r="AA232" s="90"/>
      <c r="AB232" s="90"/>
      <c r="AC232" s="97" t="s">
        <v>1070</v>
      </c>
      <c r="AD232" s="90"/>
      <c r="AE232" s="90" t="b">
        <v>0</v>
      </c>
      <c r="AF232" s="90">
        <v>0</v>
      </c>
      <c r="AG232" s="97" t="s">
        <v>1338</v>
      </c>
      <c r="AH232" s="90" t="b">
        <v>0</v>
      </c>
      <c r="AI232" s="90" t="s">
        <v>1442</v>
      </c>
      <c r="AJ232" s="90"/>
      <c r="AK232" s="97" t="s">
        <v>1338</v>
      </c>
      <c r="AL232" s="90" t="b">
        <v>0</v>
      </c>
      <c r="AM232" s="90">
        <v>18</v>
      </c>
      <c r="AN232" s="97" t="s">
        <v>1196</v>
      </c>
      <c r="AO232" s="97" t="s">
        <v>1452</v>
      </c>
      <c r="AP232" s="90" t="b">
        <v>0</v>
      </c>
      <c r="AQ232" s="97" t="s">
        <v>1196</v>
      </c>
      <c r="AR232" s="90" t="s">
        <v>187</v>
      </c>
      <c r="AS232" s="90">
        <v>0</v>
      </c>
      <c r="AT232" s="90">
        <v>0</v>
      </c>
      <c r="AU232" s="90"/>
      <c r="AV232" s="90"/>
      <c r="AW232" s="90"/>
      <c r="AX232" s="90"/>
      <c r="AY232" s="90"/>
      <c r="AZ232" s="90"/>
      <c r="BA232" s="90"/>
      <c r="BB232" s="90"/>
      <c r="BC232">
        <v>1</v>
      </c>
      <c r="BD232" s="89" t="str">
        <f>REPLACE(INDEX(GroupVertices[Group],MATCH(Edges[[#This Row],[Vertex 1]],GroupVertices[Vertex],0)),1,1,"")</f>
        <v>3</v>
      </c>
      <c r="BE232" s="89" t="str">
        <f>REPLACE(INDEX(GroupVertices[Group],MATCH(Edges[[#This Row],[Vertex 2]],GroupVertices[Vertex],0)),1,1,"")</f>
        <v>3</v>
      </c>
      <c r="BF232" s="49"/>
      <c r="BG232" s="50"/>
      <c r="BH232" s="49"/>
      <c r="BI232" s="50"/>
      <c r="BJ232" s="49"/>
      <c r="BK232" s="50"/>
      <c r="BL232" s="49"/>
      <c r="BM232" s="50"/>
      <c r="BN232" s="49"/>
    </row>
    <row r="233" spans="1:66" ht="15">
      <c r="A233" s="65" t="s">
        <v>296</v>
      </c>
      <c r="B233" s="65" t="s">
        <v>368</v>
      </c>
      <c r="C233" s="66" t="s">
        <v>5817</v>
      </c>
      <c r="D233" s="67">
        <v>1</v>
      </c>
      <c r="E233" s="68" t="s">
        <v>132</v>
      </c>
      <c r="F233" s="69">
        <v>32</v>
      </c>
      <c r="G233" s="66" t="s">
        <v>51</v>
      </c>
      <c r="H233" s="70"/>
      <c r="I233" s="71"/>
      <c r="J233" s="71"/>
      <c r="K233" s="35" t="s">
        <v>65</v>
      </c>
      <c r="L233" s="79">
        <v>233</v>
      </c>
      <c r="M233" s="79"/>
      <c r="N233" s="73"/>
      <c r="O233" s="90" t="s">
        <v>522</v>
      </c>
      <c r="P233" s="93">
        <v>44531.21994212963</v>
      </c>
      <c r="Q233" s="90" t="s">
        <v>576</v>
      </c>
      <c r="R233" s="90"/>
      <c r="S233" s="90"/>
      <c r="T233" s="97" t="s">
        <v>712</v>
      </c>
      <c r="U233" s="96" t="str">
        <f>HYPERLINK("https://pbs.twimg.com/media/FFc5qVTVQAkWXE2.jpg")</f>
        <v>https://pbs.twimg.com/media/FFc5qVTVQAkWXE2.jpg</v>
      </c>
      <c r="V233" s="96" t="str">
        <f>HYPERLINK("https://pbs.twimg.com/media/FFc5qVTVQAkWXE2.jpg")</f>
        <v>https://pbs.twimg.com/media/FFc5qVTVQAkWXE2.jpg</v>
      </c>
      <c r="W233" s="93">
        <v>44531.21994212963</v>
      </c>
      <c r="X233" s="100">
        <v>44531</v>
      </c>
      <c r="Y233" s="97" t="s">
        <v>818</v>
      </c>
      <c r="Z233" s="96" t="str">
        <f>HYPERLINK("https://twitter.com/vyyhdinpurkaja/status/1465912723418628108")</f>
        <v>https://twitter.com/vyyhdinpurkaja/status/1465912723418628108</v>
      </c>
      <c r="AA233" s="90"/>
      <c r="AB233" s="90"/>
      <c r="AC233" s="97" t="s">
        <v>1070</v>
      </c>
      <c r="AD233" s="90"/>
      <c r="AE233" s="90" t="b">
        <v>0</v>
      </c>
      <c r="AF233" s="90">
        <v>0</v>
      </c>
      <c r="AG233" s="97" t="s">
        <v>1338</v>
      </c>
      <c r="AH233" s="90" t="b">
        <v>0</v>
      </c>
      <c r="AI233" s="90" t="s">
        <v>1442</v>
      </c>
      <c r="AJ233" s="90"/>
      <c r="AK233" s="97" t="s">
        <v>1338</v>
      </c>
      <c r="AL233" s="90" t="b">
        <v>0</v>
      </c>
      <c r="AM233" s="90">
        <v>18</v>
      </c>
      <c r="AN233" s="97" t="s">
        <v>1196</v>
      </c>
      <c r="AO233" s="97" t="s">
        <v>1452</v>
      </c>
      <c r="AP233" s="90" t="b">
        <v>0</v>
      </c>
      <c r="AQ233" s="97" t="s">
        <v>1196</v>
      </c>
      <c r="AR233" s="90" t="s">
        <v>187</v>
      </c>
      <c r="AS233" s="90">
        <v>0</v>
      </c>
      <c r="AT233" s="90">
        <v>0</v>
      </c>
      <c r="AU233" s="90"/>
      <c r="AV233" s="90"/>
      <c r="AW233" s="90"/>
      <c r="AX233" s="90"/>
      <c r="AY233" s="90"/>
      <c r="AZ233" s="90"/>
      <c r="BA233" s="90"/>
      <c r="BB233" s="90"/>
      <c r="BC233">
        <v>1</v>
      </c>
      <c r="BD233" s="89" t="str">
        <f>REPLACE(INDEX(GroupVertices[Group],MATCH(Edges[[#This Row],[Vertex 1]],GroupVertices[Vertex],0)),1,1,"")</f>
        <v>3</v>
      </c>
      <c r="BE233" s="89" t="str">
        <f>REPLACE(INDEX(GroupVertices[Group],MATCH(Edges[[#This Row],[Vertex 2]],GroupVertices[Vertex],0)),1,1,"")</f>
        <v>3</v>
      </c>
      <c r="BF233" s="49">
        <v>0</v>
      </c>
      <c r="BG233" s="50">
        <v>0</v>
      </c>
      <c r="BH233" s="49">
        <v>0</v>
      </c>
      <c r="BI233" s="50">
        <v>0</v>
      </c>
      <c r="BJ233" s="49">
        <v>0</v>
      </c>
      <c r="BK233" s="50">
        <v>0</v>
      </c>
      <c r="BL233" s="49">
        <v>13</v>
      </c>
      <c r="BM233" s="50">
        <v>100</v>
      </c>
      <c r="BN233" s="49">
        <v>13</v>
      </c>
    </row>
    <row r="234" spans="1:66" ht="15">
      <c r="A234" s="65" t="s">
        <v>297</v>
      </c>
      <c r="B234" s="65" t="s">
        <v>462</v>
      </c>
      <c r="C234" s="66" t="s">
        <v>5818</v>
      </c>
      <c r="D234" s="67">
        <v>1</v>
      </c>
      <c r="E234" s="68" t="s">
        <v>132</v>
      </c>
      <c r="F234" s="69">
        <v>32</v>
      </c>
      <c r="G234" s="66" t="s">
        <v>51</v>
      </c>
      <c r="H234" s="70"/>
      <c r="I234" s="71"/>
      <c r="J234" s="71"/>
      <c r="K234" s="35" t="s">
        <v>65</v>
      </c>
      <c r="L234" s="79">
        <v>234</v>
      </c>
      <c r="M234" s="79"/>
      <c r="N234" s="73"/>
      <c r="O234" s="90" t="s">
        <v>524</v>
      </c>
      <c r="P234" s="93">
        <v>44530.463368055556</v>
      </c>
      <c r="Q234" s="90" t="s">
        <v>599</v>
      </c>
      <c r="R234" s="90"/>
      <c r="S234" s="90"/>
      <c r="T234" s="90"/>
      <c r="U234" s="90"/>
      <c r="V234" s="96" t="str">
        <f>HYPERLINK("https://pbs.twimg.com/profile_images/1399677705856106499/hIV4yMmC_normal.jpg")</f>
        <v>https://pbs.twimg.com/profile_images/1399677705856106499/hIV4yMmC_normal.jpg</v>
      </c>
      <c r="W234" s="93">
        <v>44530.463368055556</v>
      </c>
      <c r="X234" s="100">
        <v>44530</v>
      </c>
      <c r="Y234" s="97" t="s">
        <v>819</v>
      </c>
      <c r="Z234" s="96" t="str">
        <f>HYPERLINK("https://twitter.com/mikaelniku/status/1465638553250062348")</f>
        <v>https://twitter.com/mikaelniku/status/1465638553250062348</v>
      </c>
      <c r="AA234" s="90"/>
      <c r="AB234" s="90"/>
      <c r="AC234" s="97" t="s">
        <v>1071</v>
      </c>
      <c r="AD234" s="97" t="s">
        <v>1273</v>
      </c>
      <c r="AE234" s="90" t="b">
        <v>0</v>
      </c>
      <c r="AF234" s="90">
        <v>3</v>
      </c>
      <c r="AG234" s="97" t="s">
        <v>1390</v>
      </c>
      <c r="AH234" s="90" t="b">
        <v>0</v>
      </c>
      <c r="AI234" s="90" t="s">
        <v>1442</v>
      </c>
      <c r="AJ234" s="90"/>
      <c r="AK234" s="97" t="s">
        <v>1338</v>
      </c>
      <c r="AL234" s="90" t="b">
        <v>0</v>
      </c>
      <c r="AM234" s="90">
        <v>0</v>
      </c>
      <c r="AN234" s="97" t="s">
        <v>1338</v>
      </c>
      <c r="AO234" s="97" t="s">
        <v>1453</v>
      </c>
      <c r="AP234" s="90" t="b">
        <v>0</v>
      </c>
      <c r="AQ234" s="97" t="s">
        <v>1273</v>
      </c>
      <c r="AR234" s="90" t="s">
        <v>187</v>
      </c>
      <c r="AS234" s="90">
        <v>0</v>
      </c>
      <c r="AT234" s="90">
        <v>0</v>
      </c>
      <c r="AU234" s="90"/>
      <c r="AV234" s="90"/>
      <c r="AW234" s="90"/>
      <c r="AX234" s="90"/>
      <c r="AY234" s="90"/>
      <c r="AZ234" s="90"/>
      <c r="BA234" s="90"/>
      <c r="BB234" s="90"/>
      <c r="BC234">
        <v>2</v>
      </c>
      <c r="BD234" s="89" t="str">
        <f>REPLACE(INDEX(GroupVertices[Group],MATCH(Edges[[#This Row],[Vertex 1]],GroupVertices[Vertex],0)),1,1,"")</f>
        <v>2</v>
      </c>
      <c r="BE234" s="89" t="str">
        <f>REPLACE(INDEX(GroupVertices[Group],MATCH(Edges[[#This Row],[Vertex 2]],GroupVertices[Vertex],0)),1,1,"")</f>
        <v>2</v>
      </c>
      <c r="BF234" s="49"/>
      <c r="BG234" s="50"/>
      <c r="BH234" s="49"/>
      <c r="BI234" s="50"/>
      <c r="BJ234" s="49"/>
      <c r="BK234" s="50"/>
      <c r="BL234" s="49"/>
      <c r="BM234" s="50"/>
      <c r="BN234" s="49"/>
    </row>
    <row r="235" spans="1:66" ht="15">
      <c r="A235" s="65" t="s">
        <v>297</v>
      </c>
      <c r="B235" s="65" t="s">
        <v>462</v>
      </c>
      <c r="C235" s="66" t="s">
        <v>5818</v>
      </c>
      <c r="D235" s="67">
        <v>1</v>
      </c>
      <c r="E235" s="68" t="s">
        <v>132</v>
      </c>
      <c r="F235" s="69">
        <v>32</v>
      </c>
      <c r="G235" s="66" t="s">
        <v>51</v>
      </c>
      <c r="H235" s="70"/>
      <c r="I235" s="71"/>
      <c r="J235" s="71"/>
      <c r="K235" s="35" t="s">
        <v>65</v>
      </c>
      <c r="L235" s="79">
        <v>235</v>
      </c>
      <c r="M235" s="79"/>
      <c r="N235" s="73"/>
      <c r="O235" s="90" t="s">
        <v>524</v>
      </c>
      <c r="P235" s="93">
        <v>44530.487442129626</v>
      </c>
      <c r="Q235" s="90" t="s">
        <v>600</v>
      </c>
      <c r="R235" s="90"/>
      <c r="S235" s="90"/>
      <c r="T235" s="90"/>
      <c r="U235" s="90"/>
      <c r="V235" s="96" t="str">
        <f>HYPERLINK("https://pbs.twimg.com/profile_images/1399677705856106499/hIV4yMmC_normal.jpg")</f>
        <v>https://pbs.twimg.com/profile_images/1399677705856106499/hIV4yMmC_normal.jpg</v>
      </c>
      <c r="W235" s="93">
        <v>44530.487442129626</v>
      </c>
      <c r="X235" s="100">
        <v>44530</v>
      </c>
      <c r="Y235" s="97" t="s">
        <v>820</v>
      </c>
      <c r="Z235" s="96" t="str">
        <f>HYPERLINK("https://twitter.com/mikaelniku/status/1465647273359065091")</f>
        <v>https://twitter.com/mikaelniku/status/1465647273359065091</v>
      </c>
      <c r="AA235" s="90"/>
      <c r="AB235" s="90"/>
      <c r="AC235" s="97" t="s">
        <v>1072</v>
      </c>
      <c r="AD235" s="97" t="s">
        <v>1274</v>
      </c>
      <c r="AE235" s="90" t="b">
        <v>0</v>
      </c>
      <c r="AF235" s="90">
        <v>3</v>
      </c>
      <c r="AG235" s="97" t="s">
        <v>1391</v>
      </c>
      <c r="AH235" s="90" t="b">
        <v>0</v>
      </c>
      <c r="AI235" s="90" t="s">
        <v>1442</v>
      </c>
      <c r="AJ235" s="90"/>
      <c r="AK235" s="97" t="s">
        <v>1338</v>
      </c>
      <c r="AL235" s="90" t="b">
        <v>0</v>
      </c>
      <c r="AM235" s="90">
        <v>0</v>
      </c>
      <c r="AN235" s="97" t="s">
        <v>1338</v>
      </c>
      <c r="AO235" s="97" t="s">
        <v>1453</v>
      </c>
      <c r="AP235" s="90" t="b">
        <v>0</v>
      </c>
      <c r="AQ235" s="97" t="s">
        <v>1274</v>
      </c>
      <c r="AR235" s="90" t="s">
        <v>187</v>
      </c>
      <c r="AS235" s="90">
        <v>0</v>
      </c>
      <c r="AT235" s="90">
        <v>0</v>
      </c>
      <c r="AU235" s="90"/>
      <c r="AV235" s="90"/>
      <c r="AW235" s="90"/>
      <c r="AX235" s="90"/>
      <c r="AY235" s="90"/>
      <c r="AZ235" s="90"/>
      <c r="BA235" s="90"/>
      <c r="BB235" s="90"/>
      <c r="BC235">
        <v>2</v>
      </c>
      <c r="BD235" s="89" t="str">
        <f>REPLACE(INDEX(GroupVertices[Group],MATCH(Edges[[#This Row],[Vertex 1]],GroupVertices[Vertex],0)),1,1,"")</f>
        <v>2</v>
      </c>
      <c r="BE235" s="89" t="str">
        <f>REPLACE(INDEX(GroupVertices[Group],MATCH(Edges[[#This Row],[Vertex 2]],GroupVertices[Vertex],0)),1,1,"")</f>
        <v>2</v>
      </c>
      <c r="BF235" s="49"/>
      <c r="BG235" s="50"/>
      <c r="BH235" s="49"/>
      <c r="BI235" s="50"/>
      <c r="BJ235" s="49"/>
      <c r="BK235" s="50"/>
      <c r="BL235" s="49"/>
      <c r="BM235" s="50"/>
      <c r="BN235" s="49"/>
    </row>
    <row r="236" spans="1:66" ht="15">
      <c r="A236" s="65" t="s">
        <v>297</v>
      </c>
      <c r="B236" s="65" t="s">
        <v>463</v>
      </c>
      <c r="C236" s="66" t="s">
        <v>5817</v>
      </c>
      <c r="D236" s="67">
        <v>1</v>
      </c>
      <c r="E236" s="68" t="s">
        <v>132</v>
      </c>
      <c r="F236" s="69">
        <v>32</v>
      </c>
      <c r="G236" s="66" t="s">
        <v>51</v>
      </c>
      <c r="H236" s="70"/>
      <c r="I236" s="71"/>
      <c r="J236" s="71"/>
      <c r="K236" s="35" t="s">
        <v>65</v>
      </c>
      <c r="L236" s="79">
        <v>236</v>
      </c>
      <c r="M236" s="79"/>
      <c r="N236" s="73"/>
      <c r="O236" s="90" t="s">
        <v>523</v>
      </c>
      <c r="P236" s="93">
        <v>44530.463368055556</v>
      </c>
      <c r="Q236" s="90" t="s">
        <v>599</v>
      </c>
      <c r="R236" s="90"/>
      <c r="S236" s="90"/>
      <c r="T236" s="90"/>
      <c r="U236" s="90"/>
      <c r="V236" s="96" t="str">
        <f>HYPERLINK("https://pbs.twimg.com/profile_images/1399677705856106499/hIV4yMmC_normal.jpg")</f>
        <v>https://pbs.twimg.com/profile_images/1399677705856106499/hIV4yMmC_normal.jpg</v>
      </c>
      <c r="W236" s="93">
        <v>44530.463368055556</v>
      </c>
      <c r="X236" s="100">
        <v>44530</v>
      </c>
      <c r="Y236" s="97" t="s">
        <v>819</v>
      </c>
      <c r="Z236" s="96" t="str">
        <f>HYPERLINK("https://twitter.com/mikaelniku/status/1465638553250062348")</f>
        <v>https://twitter.com/mikaelniku/status/1465638553250062348</v>
      </c>
      <c r="AA236" s="90"/>
      <c r="AB236" s="90"/>
      <c r="AC236" s="97" t="s">
        <v>1071</v>
      </c>
      <c r="AD236" s="97" t="s">
        <v>1273</v>
      </c>
      <c r="AE236" s="90" t="b">
        <v>0</v>
      </c>
      <c r="AF236" s="90">
        <v>3</v>
      </c>
      <c r="AG236" s="97" t="s">
        <v>1390</v>
      </c>
      <c r="AH236" s="90" t="b">
        <v>0</v>
      </c>
      <c r="AI236" s="90" t="s">
        <v>1442</v>
      </c>
      <c r="AJ236" s="90"/>
      <c r="AK236" s="97" t="s">
        <v>1338</v>
      </c>
      <c r="AL236" s="90" t="b">
        <v>0</v>
      </c>
      <c r="AM236" s="90">
        <v>0</v>
      </c>
      <c r="AN236" s="97" t="s">
        <v>1338</v>
      </c>
      <c r="AO236" s="97" t="s">
        <v>1453</v>
      </c>
      <c r="AP236" s="90" t="b">
        <v>0</v>
      </c>
      <c r="AQ236" s="97" t="s">
        <v>1273</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2</v>
      </c>
      <c r="BE236" s="89" t="str">
        <f>REPLACE(INDEX(GroupVertices[Group],MATCH(Edges[[#This Row],[Vertex 2]],GroupVertices[Vertex],0)),1,1,"")</f>
        <v>2</v>
      </c>
      <c r="BF236" s="49"/>
      <c r="BG236" s="50"/>
      <c r="BH236" s="49"/>
      <c r="BI236" s="50"/>
      <c r="BJ236" s="49"/>
      <c r="BK236" s="50"/>
      <c r="BL236" s="49"/>
      <c r="BM236" s="50"/>
      <c r="BN236" s="49"/>
    </row>
    <row r="237" spans="1:66" ht="15">
      <c r="A237" s="65" t="s">
        <v>297</v>
      </c>
      <c r="B237" s="65" t="s">
        <v>463</v>
      </c>
      <c r="C237" s="66" t="s">
        <v>5817</v>
      </c>
      <c r="D237" s="67">
        <v>1</v>
      </c>
      <c r="E237" s="68" t="s">
        <v>132</v>
      </c>
      <c r="F237" s="69">
        <v>32</v>
      </c>
      <c r="G237" s="66" t="s">
        <v>51</v>
      </c>
      <c r="H237" s="70"/>
      <c r="I237" s="71"/>
      <c r="J237" s="71"/>
      <c r="K237" s="35" t="s">
        <v>65</v>
      </c>
      <c r="L237" s="79">
        <v>237</v>
      </c>
      <c r="M237" s="79"/>
      <c r="N237" s="73"/>
      <c r="O237" s="90" t="s">
        <v>524</v>
      </c>
      <c r="P237" s="93">
        <v>44530.487442129626</v>
      </c>
      <c r="Q237" s="90" t="s">
        <v>600</v>
      </c>
      <c r="R237" s="90"/>
      <c r="S237" s="90"/>
      <c r="T237" s="90"/>
      <c r="U237" s="90"/>
      <c r="V237" s="96" t="str">
        <f>HYPERLINK("https://pbs.twimg.com/profile_images/1399677705856106499/hIV4yMmC_normal.jpg")</f>
        <v>https://pbs.twimg.com/profile_images/1399677705856106499/hIV4yMmC_normal.jpg</v>
      </c>
      <c r="W237" s="93">
        <v>44530.487442129626</v>
      </c>
      <c r="X237" s="100">
        <v>44530</v>
      </c>
      <c r="Y237" s="97" t="s">
        <v>820</v>
      </c>
      <c r="Z237" s="96" t="str">
        <f>HYPERLINK("https://twitter.com/mikaelniku/status/1465647273359065091")</f>
        <v>https://twitter.com/mikaelniku/status/1465647273359065091</v>
      </c>
      <c r="AA237" s="90"/>
      <c r="AB237" s="90"/>
      <c r="AC237" s="97" t="s">
        <v>1072</v>
      </c>
      <c r="AD237" s="97" t="s">
        <v>1274</v>
      </c>
      <c r="AE237" s="90" t="b">
        <v>0</v>
      </c>
      <c r="AF237" s="90">
        <v>3</v>
      </c>
      <c r="AG237" s="97" t="s">
        <v>1391</v>
      </c>
      <c r="AH237" s="90" t="b">
        <v>0</v>
      </c>
      <c r="AI237" s="90" t="s">
        <v>1442</v>
      </c>
      <c r="AJ237" s="90"/>
      <c r="AK237" s="97" t="s">
        <v>1338</v>
      </c>
      <c r="AL237" s="90" t="b">
        <v>0</v>
      </c>
      <c r="AM237" s="90">
        <v>0</v>
      </c>
      <c r="AN237" s="97" t="s">
        <v>1338</v>
      </c>
      <c r="AO237" s="97" t="s">
        <v>1453</v>
      </c>
      <c r="AP237" s="90" t="b">
        <v>0</v>
      </c>
      <c r="AQ237" s="97" t="s">
        <v>1274</v>
      </c>
      <c r="AR237" s="90" t="s">
        <v>187</v>
      </c>
      <c r="AS237" s="90">
        <v>0</v>
      </c>
      <c r="AT237" s="90">
        <v>0</v>
      </c>
      <c r="AU237" s="90"/>
      <c r="AV237" s="90"/>
      <c r="AW237" s="90"/>
      <c r="AX237" s="90"/>
      <c r="AY237" s="90"/>
      <c r="AZ237" s="90"/>
      <c r="BA237" s="90"/>
      <c r="BB237" s="90"/>
      <c r="BC237">
        <v>1</v>
      </c>
      <c r="BD237" s="89" t="str">
        <f>REPLACE(INDEX(GroupVertices[Group],MATCH(Edges[[#This Row],[Vertex 1]],GroupVertices[Vertex],0)),1,1,"")</f>
        <v>2</v>
      </c>
      <c r="BE237" s="89" t="str">
        <f>REPLACE(INDEX(GroupVertices[Group],MATCH(Edges[[#This Row],[Vertex 2]],GroupVertices[Vertex],0)),1,1,"")</f>
        <v>2</v>
      </c>
      <c r="BF237" s="49"/>
      <c r="BG237" s="50"/>
      <c r="BH237" s="49"/>
      <c r="BI237" s="50"/>
      <c r="BJ237" s="49"/>
      <c r="BK237" s="50"/>
      <c r="BL237" s="49"/>
      <c r="BM237" s="50"/>
      <c r="BN237" s="49"/>
    </row>
    <row r="238" spans="1:66" ht="15">
      <c r="A238" s="65" t="s">
        <v>297</v>
      </c>
      <c r="B238" s="65" t="s">
        <v>464</v>
      </c>
      <c r="C238" s="66" t="s">
        <v>5817</v>
      </c>
      <c r="D238" s="67">
        <v>1</v>
      </c>
      <c r="E238" s="68" t="s">
        <v>132</v>
      </c>
      <c r="F238" s="69">
        <v>32</v>
      </c>
      <c r="G238" s="66" t="s">
        <v>51</v>
      </c>
      <c r="H238" s="70"/>
      <c r="I238" s="71"/>
      <c r="J238" s="71"/>
      <c r="K238" s="35" t="s">
        <v>65</v>
      </c>
      <c r="L238" s="79">
        <v>238</v>
      </c>
      <c r="M238" s="79"/>
      <c r="N238" s="73"/>
      <c r="O238" s="90" t="s">
        <v>524</v>
      </c>
      <c r="P238" s="93">
        <v>44530.463368055556</v>
      </c>
      <c r="Q238" s="90" t="s">
        <v>599</v>
      </c>
      <c r="R238" s="90"/>
      <c r="S238" s="90"/>
      <c r="T238" s="90"/>
      <c r="U238" s="90"/>
      <c r="V238" s="96" t="str">
        <f>HYPERLINK("https://pbs.twimg.com/profile_images/1399677705856106499/hIV4yMmC_normal.jpg")</f>
        <v>https://pbs.twimg.com/profile_images/1399677705856106499/hIV4yMmC_normal.jpg</v>
      </c>
      <c r="W238" s="93">
        <v>44530.463368055556</v>
      </c>
      <c r="X238" s="100">
        <v>44530</v>
      </c>
      <c r="Y238" s="97" t="s">
        <v>819</v>
      </c>
      <c r="Z238" s="96" t="str">
        <f>HYPERLINK("https://twitter.com/mikaelniku/status/1465638553250062348")</f>
        <v>https://twitter.com/mikaelniku/status/1465638553250062348</v>
      </c>
      <c r="AA238" s="90"/>
      <c r="AB238" s="90"/>
      <c r="AC238" s="97" t="s">
        <v>1071</v>
      </c>
      <c r="AD238" s="97" t="s">
        <v>1273</v>
      </c>
      <c r="AE238" s="90" t="b">
        <v>0</v>
      </c>
      <c r="AF238" s="90">
        <v>3</v>
      </c>
      <c r="AG238" s="97" t="s">
        <v>1390</v>
      </c>
      <c r="AH238" s="90" t="b">
        <v>0</v>
      </c>
      <c r="AI238" s="90" t="s">
        <v>1442</v>
      </c>
      <c r="AJ238" s="90"/>
      <c r="AK238" s="97" t="s">
        <v>1338</v>
      </c>
      <c r="AL238" s="90" t="b">
        <v>0</v>
      </c>
      <c r="AM238" s="90">
        <v>0</v>
      </c>
      <c r="AN238" s="97" t="s">
        <v>1338</v>
      </c>
      <c r="AO238" s="97" t="s">
        <v>1453</v>
      </c>
      <c r="AP238" s="90" t="b">
        <v>0</v>
      </c>
      <c r="AQ238" s="97" t="s">
        <v>1273</v>
      </c>
      <c r="AR238" s="90" t="s">
        <v>187</v>
      </c>
      <c r="AS238" s="90">
        <v>0</v>
      </c>
      <c r="AT238" s="90">
        <v>0</v>
      </c>
      <c r="AU238" s="90"/>
      <c r="AV238" s="90"/>
      <c r="AW238" s="90"/>
      <c r="AX238" s="90"/>
      <c r="AY238" s="90"/>
      <c r="AZ238" s="90"/>
      <c r="BA238" s="90"/>
      <c r="BB238" s="90"/>
      <c r="BC238">
        <v>1</v>
      </c>
      <c r="BD238" s="89" t="str">
        <f>REPLACE(INDEX(GroupVertices[Group],MATCH(Edges[[#This Row],[Vertex 1]],GroupVertices[Vertex],0)),1,1,"")</f>
        <v>2</v>
      </c>
      <c r="BE238" s="89" t="str">
        <f>REPLACE(INDEX(GroupVertices[Group],MATCH(Edges[[#This Row],[Vertex 2]],GroupVertices[Vertex],0)),1,1,"")</f>
        <v>2</v>
      </c>
      <c r="BF238" s="49">
        <v>0</v>
      </c>
      <c r="BG238" s="50">
        <v>0</v>
      </c>
      <c r="BH238" s="49">
        <v>0</v>
      </c>
      <c r="BI238" s="50">
        <v>0</v>
      </c>
      <c r="BJ238" s="49">
        <v>0</v>
      </c>
      <c r="BK238" s="50">
        <v>0</v>
      </c>
      <c r="BL238" s="49">
        <v>36</v>
      </c>
      <c r="BM238" s="50">
        <v>100</v>
      </c>
      <c r="BN238" s="49">
        <v>36</v>
      </c>
    </row>
    <row r="239" spans="1:66" ht="15">
      <c r="A239" s="65" t="s">
        <v>297</v>
      </c>
      <c r="B239" s="65" t="s">
        <v>464</v>
      </c>
      <c r="C239" s="66" t="s">
        <v>5817</v>
      </c>
      <c r="D239" s="67">
        <v>1</v>
      </c>
      <c r="E239" s="68" t="s">
        <v>132</v>
      </c>
      <c r="F239" s="69">
        <v>32</v>
      </c>
      <c r="G239" s="66" t="s">
        <v>51</v>
      </c>
      <c r="H239" s="70"/>
      <c r="I239" s="71"/>
      <c r="J239" s="71"/>
      <c r="K239" s="35" t="s">
        <v>65</v>
      </c>
      <c r="L239" s="79">
        <v>239</v>
      </c>
      <c r="M239" s="79"/>
      <c r="N239" s="73"/>
      <c r="O239" s="90" t="s">
        <v>523</v>
      </c>
      <c r="P239" s="93">
        <v>44530.487442129626</v>
      </c>
      <c r="Q239" s="90" t="s">
        <v>600</v>
      </c>
      <c r="R239" s="90"/>
      <c r="S239" s="90"/>
      <c r="T239" s="90"/>
      <c r="U239" s="90"/>
      <c r="V239" s="96" t="str">
        <f>HYPERLINK("https://pbs.twimg.com/profile_images/1399677705856106499/hIV4yMmC_normal.jpg")</f>
        <v>https://pbs.twimg.com/profile_images/1399677705856106499/hIV4yMmC_normal.jpg</v>
      </c>
      <c r="W239" s="93">
        <v>44530.487442129626</v>
      </c>
      <c r="X239" s="100">
        <v>44530</v>
      </c>
      <c r="Y239" s="97" t="s">
        <v>820</v>
      </c>
      <c r="Z239" s="96" t="str">
        <f>HYPERLINK("https://twitter.com/mikaelniku/status/1465647273359065091")</f>
        <v>https://twitter.com/mikaelniku/status/1465647273359065091</v>
      </c>
      <c r="AA239" s="90"/>
      <c r="AB239" s="90"/>
      <c r="AC239" s="97" t="s">
        <v>1072</v>
      </c>
      <c r="AD239" s="97" t="s">
        <v>1274</v>
      </c>
      <c r="AE239" s="90" t="b">
        <v>0</v>
      </c>
      <c r="AF239" s="90">
        <v>3</v>
      </c>
      <c r="AG239" s="97" t="s">
        <v>1391</v>
      </c>
      <c r="AH239" s="90" t="b">
        <v>0</v>
      </c>
      <c r="AI239" s="90" t="s">
        <v>1442</v>
      </c>
      <c r="AJ239" s="90"/>
      <c r="AK239" s="97" t="s">
        <v>1338</v>
      </c>
      <c r="AL239" s="90" t="b">
        <v>0</v>
      </c>
      <c r="AM239" s="90">
        <v>0</v>
      </c>
      <c r="AN239" s="97" t="s">
        <v>1338</v>
      </c>
      <c r="AO239" s="97" t="s">
        <v>1453</v>
      </c>
      <c r="AP239" s="90" t="b">
        <v>0</v>
      </c>
      <c r="AQ239" s="97" t="s">
        <v>1274</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2</v>
      </c>
      <c r="BE239" s="89" t="str">
        <f>REPLACE(INDEX(GroupVertices[Group],MATCH(Edges[[#This Row],[Vertex 2]],GroupVertices[Vertex],0)),1,1,"")</f>
        <v>2</v>
      </c>
      <c r="BF239" s="49">
        <v>0</v>
      </c>
      <c r="BG239" s="50">
        <v>0</v>
      </c>
      <c r="BH239" s="49">
        <v>0</v>
      </c>
      <c r="BI239" s="50">
        <v>0</v>
      </c>
      <c r="BJ239" s="49">
        <v>0</v>
      </c>
      <c r="BK239" s="50">
        <v>0</v>
      </c>
      <c r="BL239" s="49">
        <v>15</v>
      </c>
      <c r="BM239" s="50">
        <v>100</v>
      </c>
      <c r="BN239" s="49">
        <v>15</v>
      </c>
    </row>
    <row r="240" spans="1:66" ht="15">
      <c r="A240" s="65" t="s">
        <v>297</v>
      </c>
      <c r="B240" s="65" t="s">
        <v>379</v>
      </c>
      <c r="C240" s="66" t="s">
        <v>5818</v>
      </c>
      <c r="D240" s="67">
        <v>1</v>
      </c>
      <c r="E240" s="68" t="s">
        <v>132</v>
      </c>
      <c r="F240" s="69">
        <v>32</v>
      </c>
      <c r="G240" s="66" t="s">
        <v>51</v>
      </c>
      <c r="H240" s="70"/>
      <c r="I240" s="71"/>
      <c r="J240" s="71"/>
      <c r="K240" s="35" t="s">
        <v>65</v>
      </c>
      <c r="L240" s="79">
        <v>240</v>
      </c>
      <c r="M240" s="79"/>
      <c r="N240" s="73"/>
      <c r="O240" s="90" t="s">
        <v>523</v>
      </c>
      <c r="P240" s="93">
        <v>44530.6159375</v>
      </c>
      <c r="Q240" s="90" t="s">
        <v>601</v>
      </c>
      <c r="R240" s="90"/>
      <c r="S240" s="90"/>
      <c r="T240" s="90"/>
      <c r="U240" s="90"/>
      <c r="V240" s="96" t="str">
        <f>HYPERLINK("https://pbs.twimg.com/profile_images/1399677705856106499/hIV4yMmC_normal.jpg")</f>
        <v>https://pbs.twimg.com/profile_images/1399677705856106499/hIV4yMmC_normal.jpg</v>
      </c>
      <c r="W240" s="93">
        <v>44530.6159375</v>
      </c>
      <c r="X240" s="100">
        <v>44530</v>
      </c>
      <c r="Y240" s="97" t="s">
        <v>821</v>
      </c>
      <c r="Z240" s="96" t="str">
        <f>HYPERLINK("https://twitter.com/mikaelniku/status/1465693841990713348")</f>
        <v>https://twitter.com/mikaelniku/status/1465693841990713348</v>
      </c>
      <c r="AA240" s="90"/>
      <c r="AB240" s="90"/>
      <c r="AC240" s="97" t="s">
        <v>1073</v>
      </c>
      <c r="AD240" s="97" t="s">
        <v>1275</v>
      </c>
      <c r="AE240" s="90" t="b">
        <v>0</v>
      </c>
      <c r="AF240" s="90">
        <v>1</v>
      </c>
      <c r="AG240" s="97" t="s">
        <v>1339</v>
      </c>
      <c r="AH240" s="90" t="b">
        <v>0</v>
      </c>
      <c r="AI240" s="90" t="s">
        <v>1442</v>
      </c>
      <c r="AJ240" s="90"/>
      <c r="AK240" s="97" t="s">
        <v>1338</v>
      </c>
      <c r="AL240" s="90" t="b">
        <v>0</v>
      </c>
      <c r="AM240" s="90">
        <v>0</v>
      </c>
      <c r="AN240" s="97" t="s">
        <v>1338</v>
      </c>
      <c r="AO240" s="97" t="s">
        <v>1453</v>
      </c>
      <c r="AP240" s="90" t="b">
        <v>0</v>
      </c>
      <c r="AQ240" s="97" t="s">
        <v>1275</v>
      </c>
      <c r="AR240" s="90" t="s">
        <v>187</v>
      </c>
      <c r="AS240" s="90">
        <v>0</v>
      </c>
      <c r="AT240" s="90">
        <v>0</v>
      </c>
      <c r="AU240" s="90"/>
      <c r="AV240" s="90"/>
      <c r="AW240" s="90"/>
      <c r="AX240" s="90"/>
      <c r="AY240" s="90"/>
      <c r="AZ240" s="90"/>
      <c r="BA240" s="90"/>
      <c r="BB240" s="90"/>
      <c r="BC240">
        <v>2</v>
      </c>
      <c r="BD240" s="89" t="str">
        <f>REPLACE(INDEX(GroupVertices[Group],MATCH(Edges[[#This Row],[Vertex 1]],GroupVertices[Vertex],0)),1,1,"")</f>
        <v>2</v>
      </c>
      <c r="BE240" s="89" t="str">
        <f>REPLACE(INDEX(GroupVertices[Group],MATCH(Edges[[#This Row],[Vertex 2]],GroupVertices[Vertex],0)),1,1,"")</f>
        <v>2</v>
      </c>
      <c r="BF240" s="49">
        <v>0</v>
      </c>
      <c r="BG240" s="50">
        <v>0</v>
      </c>
      <c r="BH240" s="49">
        <v>0</v>
      </c>
      <c r="BI240" s="50">
        <v>0</v>
      </c>
      <c r="BJ240" s="49">
        <v>0</v>
      </c>
      <c r="BK240" s="50">
        <v>0</v>
      </c>
      <c r="BL240" s="49">
        <v>25</v>
      </c>
      <c r="BM240" s="50">
        <v>100</v>
      </c>
      <c r="BN240" s="49">
        <v>25</v>
      </c>
    </row>
    <row r="241" spans="1:66" ht="15">
      <c r="A241" s="65" t="s">
        <v>297</v>
      </c>
      <c r="B241" s="65" t="s">
        <v>379</v>
      </c>
      <c r="C241" s="66" t="s">
        <v>5818</v>
      </c>
      <c r="D241" s="67">
        <v>1</v>
      </c>
      <c r="E241" s="68" t="s">
        <v>132</v>
      </c>
      <c r="F241" s="69">
        <v>32</v>
      </c>
      <c r="G241" s="66" t="s">
        <v>51</v>
      </c>
      <c r="H241" s="70"/>
      <c r="I241" s="71"/>
      <c r="J241" s="71"/>
      <c r="K241" s="35" t="s">
        <v>65</v>
      </c>
      <c r="L241" s="79">
        <v>241</v>
      </c>
      <c r="M241" s="79"/>
      <c r="N241" s="73"/>
      <c r="O241" s="90" t="s">
        <v>523</v>
      </c>
      <c r="P241" s="93">
        <v>44531.22578703704</v>
      </c>
      <c r="Q241" s="90" t="s">
        <v>602</v>
      </c>
      <c r="R241" s="90"/>
      <c r="S241" s="90"/>
      <c r="T241" s="90"/>
      <c r="U241" s="90"/>
      <c r="V241" s="96" t="str">
        <f>HYPERLINK("https://pbs.twimg.com/profile_images/1399677705856106499/hIV4yMmC_normal.jpg")</f>
        <v>https://pbs.twimg.com/profile_images/1399677705856106499/hIV4yMmC_normal.jpg</v>
      </c>
      <c r="W241" s="93">
        <v>44531.22578703704</v>
      </c>
      <c r="X241" s="100">
        <v>44531</v>
      </c>
      <c r="Y241" s="97" t="s">
        <v>822</v>
      </c>
      <c r="Z241" s="96" t="str">
        <f>HYPERLINK("https://twitter.com/mikaelniku/status/1465914844218019842")</f>
        <v>https://twitter.com/mikaelniku/status/1465914844218019842</v>
      </c>
      <c r="AA241" s="90"/>
      <c r="AB241" s="90"/>
      <c r="AC241" s="97" t="s">
        <v>1074</v>
      </c>
      <c r="AD241" s="97" t="s">
        <v>1276</v>
      </c>
      <c r="AE241" s="90" t="b">
        <v>0</v>
      </c>
      <c r="AF241" s="90">
        <v>0</v>
      </c>
      <c r="AG241" s="97" t="s">
        <v>1339</v>
      </c>
      <c r="AH241" s="90" t="b">
        <v>0</v>
      </c>
      <c r="AI241" s="90" t="s">
        <v>1442</v>
      </c>
      <c r="AJ241" s="90"/>
      <c r="AK241" s="97" t="s">
        <v>1338</v>
      </c>
      <c r="AL241" s="90" t="b">
        <v>0</v>
      </c>
      <c r="AM241" s="90">
        <v>0</v>
      </c>
      <c r="AN241" s="97" t="s">
        <v>1338</v>
      </c>
      <c r="AO241" s="97" t="s">
        <v>1453</v>
      </c>
      <c r="AP241" s="90" t="b">
        <v>0</v>
      </c>
      <c r="AQ241" s="97" t="s">
        <v>1276</v>
      </c>
      <c r="AR241" s="90" t="s">
        <v>187</v>
      </c>
      <c r="AS241" s="90">
        <v>0</v>
      </c>
      <c r="AT241" s="90">
        <v>0</v>
      </c>
      <c r="AU241" s="90"/>
      <c r="AV241" s="90"/>
      <c r="AW241" s="90"/>
      <c r="AX241" s="90"/>
      <c r="AY241" s="90"/>
      <c r="AZ241" s="90"/>
      <c r="BA241" s="90"/>
      <c r="BB241" s="90"/>
      <c r="BC241">
        <v>2</v>
      </c>
      <c r="BD241" s="89" t="str">
        <f>REPLACE(INDEX(GroupVertices[Group],MATCH(Edges[[#This Row],[Vertex 1]],GroupVertices[Vertex],0)),1,1,"")</f>
        <v>2</v>
      </c>
      <c r="BE241" s="89" t="str">
        <f>REPLACE(INDEX(GroupVertices[Group],MATCH(Edges[[#This Row],[Vertex 2]],GroupVertices[Vertex],0)),1,1,"")</f>
        <v>2</v>
      </c>
      <c r="BF241" s="49"/>
      <c r="BG241" s="50"/>
      <c r="BH241" s="49"/>
      <c r="BI241" s="50"/>
      <c r="BJ241" s="49"/>
      <c r="BK241" s="50"/>
      <c r="BL241" s="49"/>
      <c r="BM241" s="50"/>
      <c r="BN241" s="49"/>
    </row>
    <row r="242" spans="1:66" ht="15">
      <c r="A242" s="65" t="s">
        <v>297</v>
      </c>
      <c r="B242" s="65" t="s">
        <v>297</v>
      </c>
      <c r="C242" s="66" t="s">
        <v>5818</v>
      </c>
      <c r="D242" s="67">
        <v>1</v>
      </c>
      <c r="E242" s="68" t="s">
        <v>132</v>
      </c>
      <c r="F242" s="69">
        <v>32</v>
      </c>
      <c r="G242" s="66" t="s">
        <v>51</v>
      </c>
      <c r="H242" s="70"/>
      <c r="I242" s="71"/>
      <c r="J242" s="71"/>
      <c r="K242" s="35" t="s">
        <v>65</v>
      </c>
      <c r="L242" s="79">
        <v>242</v>
      </c>
      <c r="M242" s="79"/>
      <c r="N242" s="73"/>
      <c r="O242" s="90" t="s">
        <v>187</v>
      </c>
      <c r="P242" s="93">
        <v>44530.477106481485</v>
      </c>
      <c r="Q242" s="90" t="s">
        <v>572</v>
      </c>
      <c r="R242" s="96" t="str">
        <f>HYPERLINK("https://www.merck.com/docs/product/safety-data-sheets/ah-sds/Ivermectin%20(3.5_pct)%20Formulation_AH_IE_6N.pdf")</f>
        <v>https://www.merck.com/docs/product/safety-data-sheets/ah-sds/Ivermectin%20(3.5_pct)%20Formulation_AH_IE_6N.pdf</v>
      </c>
      <c r="S242" s="90" t="s">
        <v>696</v>
      </c>
      <c r="T242" s="97" t="s">
        <v>712</v>
      </c>
      <c r="U242" s="96" t="str">
        <f>HYPERLINK("https://pbs.twimg.com/media/FFcDBOHWUAgwNdq.jpg")</f>
        <v>https://pbs.twimg.com/media/FFcDBOHWUAgwNdq.jpg</v>
      </c>
      <c r="V242" s="96" t="str">
        <f>HYPERLINK("https://pbs.twimg.com/media/FFcDBOHWUAgwNdq.jpg")</f>
        <v>https://pbs.twimg.com/media/FFcDBOHWUAgwNdq.jpg</v>
      </c>
      <c r="W242" s="93">
        <v>44530.477106481485</v>
      </c>
      <c r="X242" s="100">
        <v>44530</v>
      </c>
      <c r="Y242" s="97" t="s">
        <v>823</v>
      </c>
      <c r="Z242" s="96" t="str">
        <f>HYPERLINK("https://twitter.com/mikaelniku/status/1465643529154277378")</f>
        <v>https://twitter.com/mikaelniku/status/1465643529154277378</v>
      </c>
      <c r="AA242" s="90"/>
      <c r="AB242" s="90"/>
      <c r="AC242" s="97" t="s">
        <v>1075</v>
      </c>
      <c r="AD242" s="90"/>
      <c r="AE242" s="90" t="b">
        <v>0</v>
      </c>
      <c r="AF242" s="90">
        <v>29</v>
      </c>
      <c r="AG242" s="97" t="s">
        <v>1338</v>
      </c>
      <c r="AH242" s="90" t="b">
        <v>0</v>
      </c>
      <c r="AI242" s="90" t="s">
        <v>1442</v>
      </c>
      <c r="AJ242" s="90"/>
      <c r="AK242" s="97" t="s">
        <v>1338</v>
      </c>
      <c r="AL242" s="90" t="b">
        <v>0</v>
      </c>
      <c r="AM242" s="90">
        <v>2</v>
      </c>
      <c r="AN242" s="97" t="s">
        <v>1338</v>
      </c>
      <c r="AO242" s="97" t="s">
        <v>1453</v>
      </c>
      <c r="AP242" s="90" t="b">
        <v>0</v>
      </c>
      <c r="AQ242" s="97" t="s">
        <v>1075</v>
      </c>
      <c r="AR242" s="90" t="s">
        <v>187</v>
      </c>
      <c r="AS242" s="90">
        <v>0</v>
      </c>
      <c r="AT242" s="90">
        <v>0</v>
      </c>
      <c r="AU242" s="90"/>
      <c r="AV242" s="90"/>
      <c r="AW242" s="90"/>
      <c r="AX242" s="90"/>
      <c r="AY242" s="90"/>
      <c r="AZ242" s="90"/>
      <c r="BA242" s="90"/>
      <c r="BB242" s="90"/>
      <c r="BC242">
        <v>2</v>
      </c>
      <c r="BD242" s="89" t="str">
        <f>REPLACE(INDEX(GroupVertices[Group],MATCH(Edges[[#This Row],[Vertex 1]],GroupVertices[Vertex],0)),1,1,"")</f>
        <v>2</v>
      </c>
      <c r="BE242" s="89" t="str">
        <f>REPLACE(INDEX(GroupVertices[Group],MATCH(Edges[[#This Row],[Vertex 2]],GroupVertices[Vertex],0)),1,1,"")</f>
        <v>2</v>
      </c>
      <c r="BF242" s="49">
        <v>0</v>
      </c>
      <c r="BG242" s="50">
        <v>0</v>
      </c>
      <c r="BH242" s="49">
        <v>0</v>
      </c>
      <c r="BI242" s="50">
        <v>0</v>
      </c>
      <c r="BJ242" s="49">
        <v>0</v>
      </c>
      <c r="BK242" s="50">
        <v>0</v>
      </c>
      <c r="BL242" s="49">
        <v>25</v>
      </c>
      <c r="BM242" s="50">
        <v>100</v>
      </c>
      <c r="BN242" s="49">
        <v>25</v>
      </c>
    </row>
    <row r="243" spans="1:66" ht="15">
      <c r="A243" s="65" t="s">
        <v>297</v>
      </c>
      <c r="B243" s="65" t="s">
        <v>297</v>
      </c>
      <c r="C243" s="66" t="s">
        <v>5818</v>
      </c>
      <c r="D243" s="67">
        <v>1</v>
      </c>
      <c r="E243" s="68" t="s">
        <v>132</v>
      </c>
      <c r="F243" s="69">
        <v>32</v>
      </c>
      <c r="G243" s="66" t="s">
        <v>51</v>
      </c>
      <c r="H243" s="70"/>
      <c r="I243" s="71"/>
      <c r="J243" s="71"/>
      <c r="K243" s="35" t="s">
        <v>65</v>
      </c>
      <c r="L243" s="79">
        <v>243</v>
      </c>
      <c r="M243" s="79"/>
      <c r="N243" s="73"/>
      <c r="O243" s="90" t="s">
        <v>187</v>
      </c>
      <c r="P243" s="93">
        <v>44530.48025462963</v>
      </c>
      <c r="Q243" s="90" t="s">
        <v>603</v>
      </c>
      <c r="R243" s="90"/>
      <c r="S243" s="90"/>
      <c r="T243" s="90"/>
      <c r="U243" s="90"/>
      <c r="V243" s="96" t="str">
        <f>HYPERLINK("https://pbs.twimg.com/profile_images/1399677705856106499/hIV4yMmC_normal.jpg")</f>
        <v>https://pbs.twimg.com/profile_images/1399677705856106499/hIV4yMmC_normal.jpg</v>
      </c>
      <c r="W243" s="93">
        <v>44530.48025462963</v>
      </c>
      <c r="X243" s="100">
        <v>44530</v>
      </c>
      <c r="Y243" s="97" t="s">
        <v>824</v>
      </c>
      <c r="Z243" s="96" t="str">
        <f>HYPERLINK("https://twitter.com/mikaelniku/status/1465644672471212034")</f>
        <v>https://twitter.com/mikaelniku/status/1465644672471212034</v>
      </c>
      <c r="AA243" s="90"/>
      <c r="AB243" s="90"/>
      <c r="AC243" s="97" t="s">
        <v>1076</v>
      </c>
      <c r="AD243" s="97" t="s">
        <v>1075</v>
      </c>
      <c r="AE243" s="90" t="b">
        <v>0</v>
      </c>
      <c r="AF243" s="90">
        <v>15</v>
      </c>
      <c r="AG243" s="97" t="s">
        <v>1392</v>
      </c>
      <c r="AH243" s="90" t="b">
        <v>0</v>
      </c>
      <c r="AI243" s="90" t="s">
        <v>1442</v>
      </c>
      <c r="AJ243" s="90"/>
      <c r="AK243" s="97" t="s">
        <v>1338</v>
      </c>
      <c r="AL243" s="90" t="b">
        <v>0</v>
      </c>
      <c r="AM243" s="90">
        <v>0</v>
      </c>
      <c r="AN243" s="97" t="s">
        <v>1338</v>
      </c>
      <c r="AO243" s="97" t="s">
        <v>1453</v>
      </c>
      <c r="AP243" s="90" t="b">
        <v>0</v>
      </c>
      <c r="AQ243" s="97" t="s">
        <v>1075</v>
      </c>
      <c r="AR243" s="90" t="s">
        <v>187</v>
      </c>
      <c r="AS243" s="90">
        <v>0</v>
      </c>
      <c r="AT243" s="90">
        <v>0</v>
      </c>
      <c r="AU243" s="90"/>
      <c r="AV243" s="90"/>
      <c r="AW243" s="90"/>
      <c r="AX243" s="90"/>
      <c r="AY243" s="90"/>
      <c r="AZ243" s="90"/>
      <c r="BA243" s="90"/>
      <c r="BB243" s="90"/>
      <c r="BC243">
        <v>2</v>
      </c>
      <c r="BD243" s="89" t="str">
        <f>REPLACE(INDEX(GroupVertices[Group],MATCH(Edges[[#This Row],[Vertex 1]],GroupVertices[Vertex],0)),1,1,"")</f>
        <v>2</v>
      </c>
      <c r="BE243" s="89" t="str">
        <f>REPLACE(INDEX(GroupVertices[Group],MATCH(Edges[[#This Row],[Vertex 2]],GroupVertices[Vertex],0)),1,1,"")</f>
        <v>2</v>
      </c>
      <c r="BF243" s="49">
        <v>1</v>
      </c>
      <c r="BG243" s="50">
        <v>2.6315789473684212</v>
      </c>
      <c r="BH243" s="49">
        <v>0</v>
      </c>
      <c r="BI243" s="50">
        <v>0</v>
      </c>
      <c r="BJ243" s="49">
        <v>0</v>
      </c>
      <c r="BK243" s="50">
        <v>0</v>
      </c>
      <c r="BL243" s="49">
        <v>37</v>
      </c>
      <c r="BM243" s="50">
        <v>97.36842105263158</v>
      </c>
      <c r="BN243" s="49">
        <v>38</v>
      </c>
    </row>
    <row r="244" spans="1:66" ht="15">
      <c r="A244" s="65" t="s">
        <v>297</v>
      </c>
      <c r="B244" s="65" t="s">
        <v>458</v>
      </c>
      <c r="C244" s="66" t="s">
        <v>5817</v>
      </c>
      <c r="D244" s="67">
        <v>1</v>
      </c>
      <c r="E244" s="68" t="s">
        <v>132</v>
      </c>
      <c r="F244" s="69">
        <v>32</v>
      </c>
      <c r="G244" s="66" t="s">
        <v>51</v>
      </c>
      <c r="H244" s="70"/>
      <c r="I244" s="71"/>
      <c r="J244" s="71"/>
      <c r="K244" s="35" t="s">
        <v>65</v>
      </c>
      <c r="L244" s="79">
        <v>244</v>
      </c>
      <c r="M244" s="79"/>
      <c r="N244" s="73"/>
      <c r="O244" s="90" t="s">
        <v>524</v>
      </c>
      <c r="P244" s="93">
        <v>44531.18974537037</v>
      </c>
      <c r="Q244" s="90" t="s">
        <v>604</v>
      </c>
      <c r="R244" s="96" t="str">
        <f>HYPERLINK("https://twitter.com/MikaelNiku/status/1465643529154277378")</f>
        <v>https://twitter.com/MikaelNiku/status/1465643529154277378</v>
      </c>
      <c r="S244" s="90" t="s">
        <v>693</v>
      </c>
      <c r="T244" s="90"/>
      <c r="U244" s="90"/>
      <c r="V244" s="96" t="str">
        <f>HYPERLINK("https://pbs.twimg.com/profile_images/1399677705856106499/hIV4yMmC_normal.jpg")</f>
        <v>https://pbs.twimg.com/profile_images/1399677705856106499/hIV4yMmC_normal.jpg</v>
      </c>
      <c r="W244" s="93">
        <v>44531.18974537037</v>
      </c>
      <c r="X244" s="100">
        <v>44531</v>
      </c>
      <c r="Y244" s="97" t="s">
        <v>825</v>
      </c>
      <c r="Z244" s="96" t="str">
        <f>HYPERLINK("https://twitter.com/mikaelniku/status/1465901780244570115")</f>
        <v>https://twitter.com/mikaelniku/status/1465901780244570115</v>
      </c>
      <c r="AA244" s="90"/>
      <c r="AB244" s="90"/>
      <c r="AC244" s="97" t="s">
        <v>1077</v>
      </c>
      <c r="AD244" s="97" t="s">
        <v>1277</v>
      </c>
      <c r="AE244" s="90" t="b">
        <v>0</v>
      </c>
      <c r="AF244" s="90">
        <v>9</v>
      </c>
      <c r="AG244" s="97" t="s">
        <v>1393</v>
      </c>
      <c r="AH244" s="90" t="b">
        <v>1</v>
      </c>
      <c r="AI244" s="90" t="s">
        <v>1442</v>
      </c>
      <c r="AJ244" s="90"/>
      <c r="AK244" s="97" t="s">
        <v>1075</v>
      </c>
      <c r="AL244" s="90" t="b">
        <v>0</v>
      </c>
      <c r="AM244" s="90">
        <v>0</v>
      </c>
      <c r="AN244" s="97" t="s">
        <v>1338</v>
      </c>
      <c r="AO244" s="97" t="s">
        <v>1453</v>
      </c>
      <c r="AP244" s="90" t="b">
        <v>0</v>
      </c>
      <c r="AQ244" s="97" t="s">
        <v>1277</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2</v>
      </c>
      <c r="BE244" s="89" t="str">
        <f>REPLACE(INDEX(GroupVertices[Group],MATCH(Edges[[#This Row],[Vertex 2]],GroupVertices[Vertex],0)),1,1,"")</f>
        <v>2</v>
      </c>
      <c r="BF244" s="49"/>
      <c r="BG244" s="50"/>
      <c r="BH244" s="49"/>
      <c r="BI244" s="50"/>
      <c r="BJ244" s="49"/>
      <c r="BK244" s="50"/>
      <c r="BL244" s="49"/>
      <c r="BM244" s="50"/>
      <c r="BN244" s="49"/>
    </row>
    <row r="245" spans="1:66" ht="15">
      <c r="A245" s="65" t="s">
        <v>297</v>
      </c>
      <c r="B245" s="65" t="s">
        <v>465</v>
      </c>
      <c r="C245" s="66" t="s">
        <v>5817</v>
      </c>
      <c r="D245" s="67">
        <v>1</v>
      </c>
      <c r="E245" s="68" t="s">
        <v>132</v>
      </c>
      <c r="F245" s="69">
        <v>32</v>
      </c>
      <c r="G245" s="66" t="s">
        <v>51</v>
      </c>
      <c r="H245" s="70"/>
      <c r="I245" s="71"/>
      <c r="J245" s="71"/>
      <c r="K245" s="35" t="s">
        <v>65</v>
      </c>
      <c r="L245" s="79">
        <v>245</v>
      </c>
      <c r="M245" s="79"/>
      <c r="N245" s="73"/>
      <c r="O245" s="90" t="s">
        <v>524</v>
      </c>
      <c r="P245" s="93">
        <v>44531.18974537037</v>
      </c>
      <c r="Q245" s="90" t="s">
        <v>604</v>
      </c>
      <c r="R245" s="96" t="str">
        <f>HYPERLINK("https://twitter.com/MikaelNiku/status/1465643529154277378")</f>
        <v>https://twitter.com/MikaelNiku/status/1465643529154277378</v>
      </c>
      <c r="S245" s="90" t="s">
        <v>693</v>
      </c>
      <c r="T245" s="90"/>
      <c r="U245" s="90"/>
      <c r="V245" s="96" t="str">
        <f>HYPERLINK("https://pbs.twimg.com/profile_images/1399677705856106499/hIV4yMmC_normal.jpg")</f>
        <v>https://pbs.twimg.com/profile_images/1399677705856106499/hIV4yMmC_normal.jpg</v>
      </c>
      <c r="W245" s="93">
        <v>44531.18974537037</v>
      </c>
      <c r="X245" s="100">
        <v>44531</v>
      </c>
      <c r="Y245" s="97" t="s">
        <v>825</v>
      </c>
      <c r="Z245" s="96" t="str">
        <f>HYPERLINK("https://twitter.com/mikaelniku/status/1465901780244570115")</f>
        <v>https://twitter.com/mikaelniku/status/1465901780244570115</v>
      </c>
      <c r="AA245" s="90"/>
      <c r="AB245" s="90"/>
      <c r="AC245" s="97" t="s">
        <v>1077</v>
      </c>
      <c r="AD245" s="97" t="s">
        <v>1277</v>
      </c>
      <c r="AE245" s="90" t="b">
        <v>0</v>
      </c>
      <c r="AF245" s="90">
        <v>9</v>
      </c>
      <c r="AG245" s="97" t="s">
        <v>1393</v>
      </c>
      <c r="AH245" s="90" t="b">
        <v>1</v>
      </c>
      <c r="AI245" s="90" t="s">
        <v>1442</v>
      </c>
      <c r="AJ245" s="90"/>
      <c r="AK245" s="97" t="s">
        <v>1075</v>
      </c>
      <c r="AL245" s="90" t="b">
        <v>0</v>
      </c>
      <c r="AM245" s="90">
        <v>0</v>
      </c>
      <c r="AN245" s="97" t="s">
        <v>1338</v>
      </c>
      <c r="AO245" s="97" t="s">
        <v>1453</v>
      </c>
      <c r="AP245" s="90" t="b">
        <v>0</v>
      </c>
      <c r="AQ245" s="97" t="s">
        <v>1277</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2</v>
      </c>
      <c r="BE245" s="89" t="str">
        <f>REPLACE(INDEX(GroupVertices[Group],MATCH(Edges[[#This Row],[Vertex 2]],GroupVertices[Vertex],0)),1,1,"")</f>
        <v>2</v>
      </c>
      <c r="BF245" s="49">
        <v>1</v>
      </c>
      <c r="BG245" s="50">
        <v>2.9411764705882355</v>
      </c>
      <c r="BH245" s="49">
        <v>0</v>
      </c>
      <c r="BI245" s="50">
        <v>0</v>
      </c>
      <c r="BJ245" s="49">
        <v>0</v>
      </c>
      <c r="BK245" s="50">
        <v>0</v>
      </c>
      <c r="BL245" s="49">
        <v>33</v>
      </c>
      <c r="BM245" s="50">
        <v>97.05882352941177</v>
      </c>
      <c r="BN245" s="49">
        <v>34</v>
      </c>
    </row>
    <row r="246" spans="1:66" ht="15">
      <c r="A246" s="65" t="s">
        <v>297</v>
      </c>
      <c r="B246" s="65" t="s">
        <v>459</v>
      </c>
      <c r="C246" s="66" t="s">
        <v>5817</v>
      </c>
      <c r="D246" s="67">
        <v>1</v>
      </c>
      <c r="E246" s="68" t="s">
        <v>132</v>
      </c>
      <c r="F246" s="69">
        <v>32</v>
      </c>
      <c r="G246" s="66" t="s">
        <v>51</v>
      </c>
      <c r="H246" s="70"/>
      <c r="I246" s="71"/>
      <c r="J246" s="71"/>
      <c r="K246" s="35" t="s">
        <v>65</v>
      </c>
      <c r="L246" s="79">
        <v>246</v>
      </c>
      <c r="M246" s="79"/>
      <c r="N246" s="73"/>
      <c r="O246" s="90" t="s">
        <v>524</v>
      </c>
      <c r="P246" s="93">
        <v>44531.18974537037</v>
      </c>
      <c r="Q246" s="90" t="s">
        <v>604</v>
      </c>
      <c r="R246" s="96" t="str">
        <f>HYPERLINK("https://twitter.com/MikaelNiku/status/1465643529154277378")</f>
        <v>https://twitter.com/MikaelNiku/status/1465643529154277378</v>
      </c>
      <c r="S246" s="90" t="s">
        <v>693</v>
      </c>
      <c r="T246" s="90"/>
      <c r="U246" s="90"/>
      <c r="V246" s="96" t="str">
        <f>HYPERLINK("https://pbs.twimg.com/profile_images/1399677705856106499/hIV4yMmC_normal.jpg")</f>
        <v>https://pbs.twimg.com/profile_images/1399677705856106499/hIV4yMmC_normal.jpg</v>
      </c>
      <c r="W246" s="93">
        <v>44531.18974537037</v>
      </c>
      <c r="X246" s="100">
        <v>44531</v>
      </c>
      <c r="Y246" s="97" t="s">
        <v>825</v>
      </c>
      <c r="Z246" s="96" t="str">
        <f>HYPERLINK("https://twitter.com/mikaelniku/status/1465901780244570115")</f>
        <v>https://twitter.com/mikaelniku/status/1465901780244570115</v>
      </c>
      <c r="AA246" s="90"/>
      <c r="AB246" s="90"/>
      <c r="AC246" s="97" t="s">
        <v>1077</v>
      </c>
      <c r="AD246" s="97" t="s">
        <v>1277</v>
      </c>
      <c r="AE246" s="90" t="b">
        <v>0</v>
      </c>
      <c r="AF246" s="90">
        <v>9</v>
      </c>
      <c r="AG246" s="97" t="s">
        <v>1393</v>
      </c>
      <c r="AH246" s="90" t="b">
        <v>1</v>
      </c>
      <c r="AI246" s="90" t="s">
        <v>1442</v>
      </c>
      <c r="AJ246" s="90"/>
      <c r="AK246" s="97" t="s">
        <v>1075</v>
      </c>
      <c r="AL246" s="90" t="b">
        <v>0</v>
      </c>
      <c r="AM246" s="90">
        <v>0</v>
      </c>
      <c r="AN246" s="97" t="s">
        <v>1338</v>
      </c>
      <c r="AO246" s="97" t="s">
        <v>1453</v>
      </c>
      <c r="AP246" s="90" t="b">
        <v>0</v>
      </c>
      <c r="AQ246" s="97" t="s">
        <v>1277</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2</v>
      </c>
      <c r="BF246" s="49"/>
      <c r="BG246" s="50"/>
      <c r="BH246" s="49"/>
      <c r="BI246" s="50"/>
      <c r="BJ246" s="49"/>
      <c r="BK246" s="50"/>
      <c r="BL246" s="49"/>
      <c r="BM246" s="50"/>
      <c r="BN246" s="49"/>
    </row>
    <row r="247" spans="1:66" ht="15">
      <c r="A247" s="65" t="s">
        <v>297</v>
      </c>
      <c r="B247" s="65" t="s">
        <v>292</v>
      </c>
      <c r="C247" s="66" t="s">
        <v>5817</v>
      </c>
      <c r="D247" s="67">
        <v>1</v>
      </c>
      <c r="E247" s="68" t="s">
        <v>132</v>
      </c>
      <c r="F247" s="69">
        <v>32</v>
      </c>
      <c r="G247" s="66" t="s">
        <v>51</v>
      </c>
      <c r="H247" s="70"/>
      <c r="I247" s="71"/>
      <c r="J247" s="71"/>
      <c r="K247" s="35" t="s">
        <v>65</v>
      </c>
      <c r="L247" s="79">
        <v>247</v>
      </c>
      <c r="M247" s="79"/>
      <c r="N247" s="73"/>
      <c r="O247" s="90" t="s">
        <v>523</v>
      </c>
      <c r="P247" s="93">
        <v>44531.18974537037</v>
      </c>
      <c r="Q247" s="90" t="s">
        <v>604</v>
      </c>
      <c r="R247" s="96" t="str">
        <f>HYPERLINK("https://twitter.com/MikaelNiku/status/1465643529154277378")</f>
        <v>https://twitter.com/MikaelNiku/status/1465643529154277378</v>
      </c>
      <c r="S247" s="90" t="s">
        <v>693</v>
      </c>
      <c r="T247" s="90"/>
      <c r="U247" s="90"/>
      <c r="V247" s="96" t="str">
        <f>HYPERLINK("https://pbs.twimg.com/profile_images/1399677705856106499/hIV4yMmC_normal.jpg")</f>
        <v>https://pbs.twimg.com/profile_images/1399677705856106499/hIV4yMmC_normal.jpg</v>
      </c>
      <c r="W247" s="93">
        <v>44531.18974537037</v>
      </c>
      <c r="X247" s="100">
        <v>44531</v>
      </c>
      <c r="Y247" s="97" t="s">
        <v>825</v>
      </c>
      <c r="Z247" s="96" t="str">
        <f>HYPERLINK("https://twitter.com/mikaelniku/status/1465901780244570115")</f>
        <v>https://twitter.com/mikaelniku/status/1465901780244570115</v>
      </c>
      <c r="AA247" s="90"/>
      <c r="AB247" s="90"/>
      <c r="AC247" s="97" t="s">
        <v>1077</v>
      </c>
      <c r="AD247" s="97" t="s">
        <v>1277</v>
      </c>
      <c r="AE247" s="90" t="b">
        <v>0</v>
      </c>
      <c r="AF247" s="90">
        <v>9</v>
      </c>
      <c r="AG247" s="97" t="s">
        <v>1393</v>
      </c>
      <c r="AH247" s="90" t="b">
        <v>1</v>
      </c>
      <c r="AI247" s="90" t="s">
        <v>1442</v>
      </c>
      <c r="AJ247" s="90"/>
      <c r="AK247" s="97" t="s">
        <v>1075</v>
      </c>
      <c r="AL247" s="90" t="b">
        <v>0</v>
      </c>
      <c r="AM247" s="90">
        <v>0</v>
      </c>
      <c r="AN247" s="97" t="s">
        <v>1338</v>
      </c>
      <c r="AO247" s="97" t="s">
        <v>1453</v>
      </c>
      <c r="AP247" s="90" t="b">
        <v>0</v>
      </c>
      <c r="AQ247" s="97" t="s">
        <v>1277</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2</v>
      </c>
      <c r="BE247" s="89" t="str">
        <f>REPLACE(INDEX(GroupVertices[Group],MATCH(Edges[[#This Row],[Vertex 2]],GroupVertices[Vertex],0)),1,1,"")</f>
        <v>2</v>
      </c>
      <c r="BF247" s="49"/>
      <c r="BG247" s="50"/>
      <c r="BH247" s="49"/>
      <c r="BI247" s="50"/>
      <c r="BJ247" s="49"/>
      <c r="BK247" s="50"/>
      <c r="BL247" s="49"/>
      <c r="BM247" s="50"/>
      <c r="BN247" s="49"/>
    </row>
    <row r="248" spans="1:66" ht="15">
      <c r="A248" s="65" t="s">
        <v>297</v>
      </c>
      <c r="B248" s="65" t="s">
        <v>350</v>
      </c>
      <c r="C248" s="66" t="s">
        <v>5817</v>
      </c>
      <c r="D248" s="67">
        <v>1</v>
      </c>
      <c r="E248" s="68" t="s">
        <v>132</v>
      </c>
      <c r="F248" s="69">
        <v>32</v>
      </c>
      <c r="G248" s="66" t="s">
        <v>51</v>
      </c>
      <c r="H248" s="70"/>
      <c r="I248" s="71"/>
      <c r="J248" s="71"/>
      <c r="K248" s="35" t="s">
        <v>65</v>
      </c>
      <c r="L248" s="79">
        <v>248</v>
      </c>
      <c r="M248" s="79"/>
      <c r="N248" s="73"/>
      <c r="O248" s="90" t="s">
        <v>524</v>
      </c>
      <c r="P248" s="93">
        <v>44531.22578703704</v>
      </c>
      <c r="Q248" s="90" t="s">
        <v>602</v>
      </c>
      <c r="R248" s="90"/>
      <c r="S248" s="90"/>
      <c r="T248" s="90"/>
      <c r="U248" s="90"/>
      <c r="V248" s="96" t="str">
        <f>HYPERLINK("https://pbs.twimg.com/profile_images/1399677705856106499/hIV4yMmC_normal.jpg")</f>
        <v>https://pbs.twimg.com/profile_images/1399677705856106499/hIV4yMmC_normal.jpg</v>
      </c>
      <c r="W248" s="93">
        <v>44531.22578703704</v>
      </c>
      <c r="X248" s="100">
        <v>44531</v>
      </c>
      <c r="Y248" s="97" t="s">
        <v>822</v>
      </c>
      <c r="Z248" s="96" t="str">
        <f>HYPERLINK("https://twitter.com/mikaelniku/status/1465914844218019842")</f>
        <v>https://twitter.com/mikaelniku/status/1465914844218019842</v>
      </c>
      <c r="AA248" s="90"/>
      <c r="AB248" s="90"/>
      <c r="AC248" s="97" t="s">
        <v>1074</v>
      </c>
      <c r="AD248" s="97" t="s">
        <v>1276</v>
      </c>
      <c r="AE248" s="90" t="b">
        <v>0</v>
      </c>
      <c r="AF248" s="90">
        <v>0</v>
      </c>
      <c r="AG248" s="97" t="s">
        <v>1339</v>
      </c>
      <c r="AH248" s="90" t="b">
        <v>0</v>
      </c>
      <c r="AI248" s="90" t="s">
        <v>1442</v>
      </c>
      <c r="AJ248" s="90"/>
      <c r="AK248" s="97" t="s">
        <v>1338</v>
      </c>
      <c r="AL248" s="90" t="b">
        <v>0</v>
      </c>
      <c r="AM248" s="90">
        <v>0</v>
      </c>
      <c r="AN248" s="97" t="s">
        <v>1338</v>
      </c>
      <c r="AO248" s="97" t="s">
        <v>1453</v>
      </c>
      <c r="AP248" s="90" t="b">
        <v>0</v>
      </c>
      <c r="AQ248" s="97" t="s">
        <v>1276</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5</v>
      </c>
      <c r="BF248" s="49">
        <v>0</v>
      </c>
      <c r="BG248" s="50">
        <v>0</v>
      </c>
      <c r="BH248" s="49">
        <v>0</v>
      </c>
      <c r="BI248" s="50">
        <v>0</v>
      </c>
      <c r="BJ248" s="49">
        <v>0</v>
      </c>
      <c r="BK248" s="50">
        <v>0</v>
      </c>
      <c r="BL248" s="49">
        <v>32</v>
      </c>
      <c r="BM248" s="50">
        <v>100</v>
      </c>
      <c r="BN248" s="49">
        <v>32</v>
      </c>
    </row>
    <row r="249" spans="1:66" ht="15">
      <c r="A249" s="65" t="s">
        <v>298</v>
      </c>
      <c r="B249" s="65" t="s">
        <v>458</v>
      </c>
      <c r="C249" s="66" t="s">
        <v>5817</v>
      </c>
      <c r="D249" s="67">
        <v>1</v>
      </c>
      <c r="E249" s="68" t="s">
        <v>132</v>
      </c>
      <c r="F249" s="69">
        <v>32</v>
      </c>
      <c r="G249" s="66" t="s">
        <v>51</v>
      </c>
      <c r="H249" s="70"/>
      <c r="I249" s="71"/>
      <c r="J249" s="71"/>
      <c r="K249" s="35" t="s">
        <v>65</v>
      </c>
      <c r="L249" s="79">
        <v>249</v>
      </c>
      <c r="M249" s="79"/>
      <c r="N249" s="73"/>
      <c r="O249" s="90" t="s">
        <v>524</v>
      </c>
      <c r="P249" s="93">
        <v>44531.22938657407</v>
      </c>
      <c r="Q249" s="90" t="s">
        <v>605</v>
      </c>
      <c r="R249" s="90"/>
      <c r="S249" s="90"/>
      <c r="T249" s="90"/>
      <c r="U249" s="90"/>
      <c r="V249" s="96" t="str">
        <f>HYPERLINK("https://pbs.twimg.com/profile_images/701657230790291456/-DQAp_1h_normal.jpg")</f>
        <v>https://pbs.twimg.com/profile_images/701657230790291456/-DQAp_1h_normal.jpg</v>
      </c>
      <c r="W249" s="93">
        <v>44531.22938657407</v>
      </c>
      <c r="X249" s="100">
        <v>44531</v>
      </c>
      <c r="Y249" s="97" t="s">
        <v>826</v>
      </c>
      <c r="Z249" s="96" t="str">
        <f>HYPERLINK("https://twitter.com/kehottelija/status/1465916147912609792")</f>
        <v>https://twitter.com/kehottelija/status/1465916147912609792</v>
      </c>
      <c r="AA249" s="90"/>
      <c r="AB249" s="90"/>
      <c r="AC249" s="97" t="s">
        <v>1078</v>
      </c>
      <c r="AD249" s="97" t="s">
        <v>1269</v>
      </c>
      <c r="AE249" s="90" t="b">
        <v>0</v>
      </c>
      <c r="AF249" s="90">
        <v>0</v>
      </c>
      <c r="AG249" s="97" t="s">
        <v>1385</v>
      </c>
      <c r="AH249" s="90" t="b">
        <v>0</v>
      </c>
      <c r="AI249" s="90" t="s">
        <v>1442</v>
      </c>
      <c r="AJ249" s="90"/>
      <c r="AK249" s="97" t="s">
        <v>1338</v>
      </c>
      <c r="AL249" s="90" t="b">
        <v>0</v>
      </c>
      <c r="AM249" s="90">
        <v>0</v>
      </c>
      <c r="AN249" s="97" t="s">
        <v>1338</v>
      </c>
      <c r="AO249" s="97" t="s">
        <v>1452</v>
      </c>
      <c r="AP249" s="90" t="b">
        <v>0</v>
      </c>
      <c r="AQ249" s="97" t="s">
        <v>1269</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2</v>
      </c>
      <c r="BF249" s="49"/>
      <c r="BG249" s="50"/>
      <c r="BH249" s="49"/>
      <c r="BI249" s="50"/>
      <c r="BJ249" s="49"/>
      <c r="BK249" s="50"/>
      <c r="BL249" s="49"/>
      <c r="BM249" s="50"/>
      <c r="BN249" s="49"/>
    </row>
    <row r="250" spans="1:66" ht="15">
      <c r="A250" s="65" t="s">
        <v>298</v>
      </c>
      <c r="B250" s="65" t="s">
        <v>459</v>
      </c>
      <c r="C250" s="66" t="s">
        <v>5817</v>
      </c>
      <c r="D250" s="67">
        <v>1</v>
      </c>
      <c r="E250" s="68" t="s">
        <v>132</v>
      </c>
      <c r="F250" s="69">
        <v>32</v>
      </c>
      <c r="G250" s="66" t="s">
        <v>51</v>
      </c>
      <c r="H250" s="70"/>
      <c r="I250" s="71"/>
      <c r="J250" s="71"/>
      <c r="K250" s="35" t="s">
        <v>65</v>
      </c>
      <c r="L250" s="79">
        <v>250</v>
      </c>
      <c r="M250" s="79"/>
      <c r="N250" s="73"/>
      <c r="O250" s="90" t="s">
        <v>523</v>
      </c>
      <c r="P250" s="93">
        <v>44531.22938657407</v>
      </c>
      <c r="Q250" s="90" t="s">
        <v>605</v>
      </c>
      <c r="R250" s="90"/>
      <c r="S250" s="90"/>
      <c r="T250" s="90"/>
      <c r="U250" s="90"/>
      <c r="V250" s="96" t="str">
        <f>HYPERLINK("https://pbs.twimg.com/profile_images/701657230790291456/-DQAp_1h_normal.jpg")</f>
        <v>https://pbs.twimg.com/profile_images/701657230790291456/-DQAp_1h_normal.jpg</v>
      </c>
      <c r="W250" s="93">
        <v>44531.22938657407</v>
      </c>
      <c r="X250" s="100">
        <v>44531</v>
      </c>
      <c r="Y250" s="97" t="s">
        <v>826</v>
      </c>
      <c r="Z250" s="96" t="str">
        <f>HYPERLINK("https://twitter.com/kehottelija/status/1465916147912609792")</f>
        <v>https://twitter.com/kehottelija/status/1465916147912609792</v>
      </c>
      <c r="AA250" s="90"/>
      <c r="AB250" s="90"/>
      <c r="AC250" s="97" t="s">
        <v>1078</v>
      </c>
      <c r="AD250" s="97" t="s">
        <v>1269</v>
      </c>
      <c r="AE250" s="90" t="b">
        <v>0</v>
      </c>
      <c r="AF250" s="90">
        <v>0</v>
      </c>
      <c r="AG250" s="97" t="s">
        <v>1385</v>
      </c>
      <c r="AH250" s="90" t="b">
        <v>0</v>
      </c>
      <c r="AI250" s="90" t="s">
        <v>1442</v>
      </c>
      <c r="AJ250" s="90"/>
      <c r="AK250" s="97" t="s">
        <v>1338</v>
      </c>
      <c r="AL250" s="90" t="b">
        <v>0</v>
      </c>
      <c r="AM250" s="90">
        <v>0</v>
      </c>
      <c r="AN250" s="97" t="s">
        <v>1338</v>
      </c>
      <c r="AO250" s="97" t="s">
        <v>1452</v>
      </c>
      <c r="AP250" s="90" t="b">
        <v>0</v>
      </c>
      <c r="AQ250" s="97" t="s">
        <v>1269</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v>0</v>
      </c>
      <c r="BG250" s="50">
        <v>0</v>
      </c>
      <c r="BH250" s="49">
        <v>0</v>
      </c>
      <c r="BI250" s="50">
        <v>0</v>
      </c>
      <c r="BJ250" s="49">
        <v>0</v>
      </c>
      <c r="BK250" s="50">
        <v>0</v>
      </c>
      <c r="BL250" s="49">
        <v>38</v>
      </c>
      <c r="BM250" s="50">
        <v>100</v>
      </c>
      <c r="BN250" s="49">
        <v>38</v>
      </c>
    </row>
    <row r="251" spans="1:66" ht="15">
      <c r="A251" s="65" t="s">
        <v>299</v>
      </c>
      <c r="B251" s="65" t="s">
        <v>374</v>
      </c>
      <c r="C251" s="66" t="s">
        <v>5817</v>
      </c>
      <c r="D251" s="67">
        <v>1</v>
      </c>
      <c r="E251" s="68" t="s">
        <v>132</v>
      </c>
      <c r="F251" s="69">
        <v>32</v>
      </c>
      <c r="G251" s="66" t="s">
        <v>51</v>
      </c>
      <c r="H251" s="70"/>
      <c r="I251" s="71"/>
      <c r="J251" s="71"/>
      <c r="K251" s="35" t="s">
        <v>65</v>
      </c>
      <c r="L251" s="79">
        <v>251</v>
      </c>
      <c r="M251" s="79"/>
      <c r="N251" s="73"/>
      <c r="O251" s="90" t="s">
        <v>522</v>
      </c>
      <c r="P251" s="93">
        <v>44527.39351851852</v>
      </c>
      <c r="Q251" s="90" t="s">
        <v>540</v>
      </c>
      <c r="R251" s="96" t="str">
        <f>HYPERLINK("https://www.iltalehti.fi/terveysuutiset/a/267d645a-c545-4161-aa04-bc742a580248")</f>
        <v>https://www.iltalehti.fi/terveysuutiset/a/267d645a-c545-4161-aa04-bc742a580248</v>
      </c>
      <c r="S251" s="90" t="s">
        <v>692</v>
      </c>
      <c r="T251" s="90"/>
      <c r="U251" s="90"/>
      <c r="V251" s="96" t="str">
        <f>HYPERLINK("https://pbs.twimg.com/profile_images/1318039575881781248/r5TCLufI_normal.jpg")</f>
        <v>https://pbs.twimg.com/profile_images/1318039575881781248/r5TCLufI_normal.jpg</v>
      </c>
      <c r="W251" s="93">
        <v>44527.39351851852</v>
      </c>
      <c r="X251" s="100">
        <v>44527</v>
      </c>
      <c r="Y251" s="97" t="s">
        <v>827</v>
      </c>
      <c r="Z251" s="96" t="str">
        <f>HYPERLINK("https://twitter.com/miskakemppinen/status/1464526073765543938")</f>
        <v>https://twitter.com/miskakemppinen/status/1464526073765543938</v>
      </c>
      <c r="AA251" s="90"/>
      <c r="AB251" s="90"/>
      <c r="AC251" s="97" t="s">
        <v>1079</v>
      </c>
      <c r="AD251" s="90"/>
      <c r="AE251" s="90" t="b">
        <v>0</v>
      </c>
      <c r="AF251" s="90">
        <v>0</v>
      </c>
      <c r="AG251" s="97" t="s">
        <v>1338</v>
      </c>
      <c r="AH251" s="90" t="b">
        <v>0</v>
      </c>
      <c r="AI251" s="90" t="s">
        <v>1442</v>
      </c>
      <c r="AJ251" s="90"/>
      <c r="AK251" s="97" t="s">
        <v>1338</v>
      </c>
      <c r="AL251" s="90" t="b">
        <v>0</v>
      </c>
      <c r="AM251" s="90">
        <v>3</v>
      </c>
      <c r="AN251" s="97" t="s">
        <v>1217</v>
      </c>
      <c r="AO251" s="97" t="s">
        <v>1450</v>
      </c>
      <c r="AP251" s="90" t="b">
        <v>0</v>
      </c>
      <c r="AQ251" s="97" t="s">
        <v>1217</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1</v>
      </c>
      <c r="BE251" s="89" t="str">
        <f>REPLACE(INDEX(GroupVertices[Group],MATCH(Edges[[#This Row],[Vertex 2]],GroupVertices[Vertex],0)),1,1,"")</f>
        <v>1</v>
      </c>
      <c r="BF251" s="49">
        <v>0</v>
      </c>
      <c r="BG251" s="50">
        <v>0</v>
      </c>
      <c r="BH251" s="49">
        <v>0</v>
      </c>
      <c r="BI251" s="50">
        <v>0</v>
      </c>
      <c r="BJ251" s="49">
        <v>0</v>
      </c>
      <c r="BK251" s="50">
        <v>0</v>
      </c>
      <c r="BL251" s="49">
        <v>28</v>
      </c>
      <c r="BM251" s="50">
        <v>100</v>
      </c>
      <c r="BN251" s="49">
        <v>28</v>
      </c>
    </row>
    <row r="252" spans="1:66" ht="15">
      <c r="A252" s="65" t="s">
        <v>299</v>
      </c>
      <c r="B252" s="65" t="s">
        <v>356</v>
      </c>
      <c r="C252" s="66" t="s">
        <v>5817</v>
      </c>
      <c r="D252" s="67">
        <v>1</v>
      </c>
      <c r="E252" s="68" t="s">
        <v>132</v>
      </c>
      <c r="F252" s="69">
        <v>32</v>
      </c>
      <c r="G252" s="66" t="s">
        <v>51</v>
      </c>
      <c r="H252" s="70"/>
      <c r="I252" s="71"/>
      <c r="J252" s="71"/>
      <c r="K252" s="35" t="s">
        <v>65</v>
      </c>
      <c r="L252" s="79">
        <v>252</v>
      </c>
      <c r="M252" s="79"/>
      <c r="N252" s="73"/>
      <c r="O252" s="90" t="s">
        <v>522</v>
      </c>
      <c r="P252" s="93">
        <v>44531.2575</v>
      </c>
      <c r="Q252" s="90" t="s">
        <v>583</v>
      </c>
      <c r="R252" s="96" t="str">
        <f>HYPERLINK("https://twitter.com/KorpinenLaura/status/1465773688918364174")</f>
        <v>https://twitter.com/KorpinenLaura/status/1465773688918364174</v>
      </c>
      <c r="S252" s="90" t="s">
        <v>693</v>
      </c>
      <c r="T252" s="97" t="s">
        <v>712</v>
      </c>
      <c r="U252" s="90"/>
      <c r="V252" s="96" t="str">
        <f>HYPERLINK("https://pbs.twimg.com/profile_images/1318039575881781248/r5TCLufI_normal.jpg")</f>
        <v>https://pbs.twimg.com/profile_images/1318039575881781248/r5TCLufI_normal.jpg</v>
      </c>
      <c r="W252" s="93">
        <v>44531.2575</v>
      </c>
      <c r="X252" s="100">
        <v>44531</v>
      </c>
      <c r="Y252" s="97" t="s">
        <v>828</v>
      </c>
      <c r="Z252" s="96" t="str">
        <f>HYPERLINK("https://twitter.com/miskakemppinen/status/1465926333318549505")</f>
        <v>https://twitter.com/miskakemppinen/status/1465926333318549505</v>
      </c>
      <c r="AA252" s="90"/>
      <c r="AB252" s="90"/>
      <c r="AC252" s="97" t="s">
        <v>1080</v>
      </c>
      <c r="AD252" s="90"/>
      <c r="AE252" s="90" t="b">
        <v>0</v>
      </c>
      <c r="AF252" s="90">
        <v>0</v>
      </c>
      <c r="AG252" s="97" t="s">
        <v>1338</v>
      </c>
      <c r="AH252" s="90" t="b">
        <v>1</v>
      </c>
      <c r="AI252" s="90" t="s">
        <v>1442</v>
      </c>
      <c r="AJ252" s="90"/>
      <c r="AK252" s="97" t="s">
        <v>1301</v>
      </c>
      <c r="AL252" s="90" t="b">
        <v>0</v>
      </c>
      <c r="AM252" s="90">
        <v>10</v>
      </c>
      <c r="AN252" s="97" t="s">
        <v>1171</v>
      </c>
      <c r="AO252" s="97" t="s">
        <v>1450</v>
      </c>
      <c r="AP252" s="90" t="b">
        <v>0</v>
      </c>
      <c r="AQ252" s="97" t="s">
        <v>1171</v>
      </c>
      <c r="AR252" s="90" t="s">
        <v>187</v>
      </c>
      <c r="AS252" s="90">
        <v>0</v>
      </c>
      <c r="AT252" s="90">
        <v>0</v>
      </c>
      <c r="AU252" s="90"/>
      <c r="AV252" s="90"/>
      <c r="AW252" s="90"/>
      <c r="AX252" s="90"/>
      <c r="AY252" s="90"/>
      <c r="AZ252" s="90"/>
      <c r="BA252" s="90"/>
      <c r="BB252" s="90"/>
      <c r="BC252">
        <v>1</v>
      </c>
      <c r="BD252" s="89" t="str">
        <f>REPLACE(INDEX(GroupVertices[Group],MATCH(Edges[[#This Row],[Vertex 1]],GroupVertices[Vertex],0)),1,1,"")</f>
        <v>1</v>
      </c>
      <c r="BE252" s="89" t="str">
        <f>REPLACE(INDEX(GroupVertices[Group],MATCH(Edges[[#This Row],[Vertex 2]],GroupVertices[Vertex],0)),1,1,"")</f>
        <v>1</v>
      </c>
      <c r="BF252" s="49">
        <v>0</v>
      </c>
      <c r="BG252" s="50">
        <v>0</v>
      </c>
      <c r="BH252" s="49">
        <v>0</v>
      </c>
      <c r="BI252" s="50">
        <v>0</v>
      </c>
      <c r="BJ252" s="49">
        <v>0</v>
      </c>
      <c r="BK252" s="50">
        <v>0</v>
      </c>
      <c r="BL252" s="49">
        <v>16</v>
      </c>
      <c r="BM252" s="50">
        <v>100</v>
      </c>
      <c r="BN252" s="49">
        <v>16</v>
      </c>
    </row>
    <row r="253" spans="1:66" ht="15">
      <c r="A253" s="65" t="s">
        <v>299</v>
      </c>
      <c r="B253" s="65" t="s">
        <v>281</v>
      </c>
      <c r="C253" s="66" t="s">
        <v>5817</v>
      </c>
      <c r="D253" s="67">
        <v>1</v>
      </c>
      <c r="E253" s="68" t="s">
        <v>132</v>
      </c>
      <c r="F253" s="69">
        <v>32</v>
      </c>
      <c r="G253" s="66" t="s">
        <v>51</v>
      </c>
      <c r="H253" s="70"/>
      <c r="I253" s="71"/>
      <c r="J253" s="71"/>
      <c r="K253" s="35" t="s">
        <v>65</v>
      </c>
      <c r="L253" s="79">
        <v>253</v>
      </c>
      <c r="M253" s="79"/>
      <c r="N253" s="73"/>
      <c r="O253" s="90" t="s">
        <v>522</v>
      </c>
      <c r="P253" s="93">
        <v>44531.2596875</v>
      </c>
      <c r="Q253" s="90" t="s">
        <v>606</v>
      </c>
      <c r="R253" s="90"/>
      <c r="S253" s="90"/>
      <c r="T253" s="90"/>
      <c r="U253" s="90"/>
      <c r="V253" s="96" t="str">
        <f>HYPERLINK("https://pbs.twimg.com/profile_images/1318039575881781248/r5TCLufI_normal.jpg")</f>
        <v>https://pbs.twimg.com/profile_images/1318039575881781248/r5TCLufI_normal.jpg</v>
      </c>
      <c r="W253" s="93">
        <v>44531.2596875</v>
      </c>
      <c r="X253" s="100">
        <v>44531</v>
      </c>
      <c r="Y253" s="97" t="s">
        <v>829</v>
      </c>
      <c r="Z253" s="96" t="str">
        <f>HYPERLINK("https://twitter.com/miskakemppinen/status/1465927126004158468")</f>
        <v>https://twitter.com/miskakemppinen/status/1465927126004158468</v>
      </c>
      <c r="AA253" s="90"/>
      <c r="AB253" s="90"/>
      <c r="AC253" s="97" t="s">
        <v>1081</v>
      </c>
      <c r="AD253" s="90"/>
      <c r="AE253" s="90" t="b">
        <v>0</v>
      </c>
      <c r="AF253" s="90">
        <v>0</v>
      </c>
      <c r="AG253" s="97" t="s">
        <v>1338</v>
      </c>
      <c r="AH253" s="90" t="b">
        <v>0</v>
      </c>
      <c r="AI253" s="90" t="s">
        <v>1442</v>
      </c>
      <c r="AJ253" s="90"/>
      <c r="AK253" s="97" t="s">
        <v>1338</v>
      </c>
      <c r="AL253" s="90" t="b">
        <v>0</v>
      </c>
      <c r="AM253" s="90">
        <v>6</v>
      </c>
      <c r="AN253" s="97" t="s">
        <v>1132</v>
      </c>
      <c r="AO253" s="97" t="s">
        <v>1450</v>
      </c>
      <c r="AP253" s="90" t="b">
        <v>0</v>
      </c>
      <c r="AQ253" s="97" t="s">
        <v>1132</v>
      </c>
      <c r="AR253" s="90" t="s">
        <v>187</v>
      </c>
      <c r="AS253" s="90">
        <v>0</v>
      </c>
      <c r="AT253" s="90">
        <v>0</v>
      </c>
      <c r="AU253" s="90"/>
      <c r="AV253" s="90"/>
      <c r="AW253" s="90"/>
      <c r="AX253" s="90"/>
      <c r="AY253" s="90"/>
      <c r="AZ253" s="90"/>
      <c r="BA253" s="90"/>
      <c r="BB253" s="90"/>
      <c r="BC253">
        <v>1</v>
      </c>
      <c r="BD253" s="89" t="str">
        <f>REPLACE(INDEX(GroupVertices[Group],MATCH(Edges[[#This Row],[Vertex 1]],GroupVertices[Vertex],0)),1,1,"")</f>
        <v>1</v>
      </c>
      <c r="BE253" s="89" t="str">
        <f>REPLACE(INDEX(GroupVertices[Group],MATCH(Edges[[#This Row],[Vertex 2]],GroupVertices[Vertex],0)),1,1,"")</f>
        <v>1</v>
      </c>
      <c r="BF253" s="49"/>
      <c r="BG253" s="50"/>
      <c r="BH253" s="49"/>
      <c r="BI253" s="50"/>
      <c r="BJ253" s="49"/>
      <c r="BK253" s="50"/>
      <c r="BL253" s="49"/>
      <c r="BM253" s="50"/>
      <c r="BN253" s="49"/>
    </row>
    <row r="254" spans="1:66" ht="15">
      <c r="A254" s="65" t="s">
        <v>299</v>
      </c>
      <c r="B254" s="65" t="s">
        <v>338</v>
      </c>
      <c r="C254" s="66" t="s">
        <v>5817</v>
      </c>
      <c r="D254" s="67">
        <v>1</v>
      </c>
      <c r="E254" s="68" t="s">
        <v>132</v>
      </c>
      <c r="F254" s="69">
        <v>32</v>
      </c>
      <c r="G254" s="66" t="s">
        <v>51</v>
      </c>
      <c r="H254" s="70"/>
      <c r="I254" s="71"/>
      <c r="J254" s="71"/>
      <c r="K254" s="35" t="s">
        <v>65</v>
      </c>
      <c r="L254" s="79">
        <v>254</v>
      </c>
      <c r="M254" s="79"/>
      <c r="N254" s="73"/>
      <c r="O254" s="90" t="s">
        <v>523</v>
      </c>
      <c r="P254" s="93">
        <v>44531.2596875</v>
      </c>
      <c r="Q254" s="90" t="s">
        <v>606</v>
      </c>
      <c r="R254" s="90"/>
      <c r="S254" s="90"/>
      <c r="T254" s="90"/>
      <c r="U254" s="90"/>
      <c r="V254" s="96" t="str">
        <f>HYPERLINK("https://pbs.twimg.com/profile_images/1318039575881781248/r5TCLufI_normal.jpg")</f>
        <v>https://pbs.twimg.com/profile_images/1318039575881781248/r5TCLufI_normal.jpg</v>
      </c>
      <c r="W254" s="93">
        <v>44531.2596875</v>
      </c>
      <c r="X254" s="100">
        <v>44531</v>
      </c>
      <c r="Y254" s="97" t="s">
        <v>829</v>
      </c>
      <c r="Z254" s="96" t="str">
        <f>HYPERLINK("https://twitter.com/miskakemppinen/status/1465927126004158468")</f>
        <v>https://twitter.com/miskakemppinen/status/1465927126004158468</v>
      </c>
      <c r="AA254" s="90"/>
      <c r="AB254" s="90"/>
      <c r="AC254" s="97" t="s">
        <v>1081</v>
      </c>
      <c r="AD254" s="90"/>
      <c r="AE254" s="90" t="b">
        <v>0</v>
      </c>
      <c r="AF254" s="90">
        <v>0</v>
      </c>
      <c r="AG254" s="97" t="s">
        <v>1338</v>
      </c>
      <c r="AH254" s="90" t="b">
        <v>0</v>
      </c>
      <c r="AI254" s="90" t="s">
        <v>1442</v>
      </c>
      <c r="AJ254" s="90"/>
      <c r="AK254" s="97" t="s">
        <v>1338</v>
      </c>
      <c r="AL254" s="90" t="b">
        <v>0</v>
      </c>
      <c r="AM254" s="90">
        <v>6</v>
      </c>
      <c r="AN254" s="97" t="s">
        <v>1132</v>
      </c>
      <c r="AO254" s="97" t="s">
        <v>1450</v>
      </c>
      <c r="AP254" s="90" t="b">
        <v>0</v>
      </c>
      <c r="AQ254" s="97" t="s">
        <v>1132</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1</v>
      </c>
      <c r="BE254" s="89" t="str">
        <f>REPLACE(INDEX(GroupVertices[Group],MATCH(Edges[[#This Row],[Vertex 2]],GroupVertices[Vertex],0)),1,1,"")</f>
        <v>1</v>
      </c>
      <c r="BF254" s="49">
        <v>0</v>
      </c>
      <c r="BG254" s="50">
        <v>0</v>
      </c>
      <c r="BH254" s="49">
        <v>0</v>
      </c>
      <c r="BI254" s="50">
        <v>0</v>
      </c>
      <c r="BJ254" s="49">
        <v>0</v>
      </c>
      <c r="BK254" s="50">
        <v>0</v>
      </c>
      <c r="BL254" s="49">
        <v>28</v>
      </c>
      <c r="BM254" s="50">
        <v>100</v>
      </c>
      <c r="BN254" s="49">
        <v>28</v>
      </c>
    </row>
    <row r="255" spans="1:66" ht="15">
      <c r="A255" s="65" t="s">
        <v>300</v>
      </c>
      <c r="B255" s="65" t="s">
        <v>349</v>
      </c>
      <c r="C255" s="66" t="s">
        <v>5817</v>
      </c>
      <c r="D255" s="67">
        <v>1</v>
      </c>
      <c r="E255" s="68" t="s">
        <v>132</v>
      </c>
      <c r="F255" s="69">
        <v>32</v>
      </c>
      <c r="G255" s="66" t="s">
        <v>51</v>
      </c>
      <c r="H255" s="70"/>
      <c r="I255" s="71"/>
      <c r="J255" s="71"/>
      <c r="K255" s="35" t="s">
        <v>65</v>
      </c>
      <c r="L255" s="79">
        <v>255</v>
      </c>
      <c r="M255" s="79"/>
      <c r="N255" s="73"/>
      <c r="O255" s="90" t="s">
        <v>523</v>
      </c>
      <c r="P255" s="93">
        <v>44531.27300925926</v>
      </c>
      <c r="Q255" s="90" t="s">
        <v>607</v>
      </c>
      <c r="R255" s="90"/>
      <c r="S255" s="90"/>
      <c r="T255" s="90"/>
      <c r="U255" s="90"/>
      <c r="V255" s="96" t="str">
        <f>HYPERLINK("https://pbs.twimg.com/profile_images/1418534368126062594/l0AUMaz2_normal.jpg")</f>
        <v>https://pbs.twimg.com/profile_images/1418534368126062594/l0AUMaz2_normal.jpg</v>
      </c>
      <c r="W255" s="93">
        <v>44531.27300925926</v>
      </c>
      <c r="X255" s="100">
        <v>44531</v>
      </c>
      <c r="Y255" s="97" t="s">
        <v>830</v>
      </c>
      <c r="Z255" s="96" t="str">
        <f>HYPERLINK("https://twitter.com/joakimwahlberg/status/1465931954637914113")</f>
        <v>https://twitter.com/joakimwahlberg/status/1465931954637914113</v>
      </c>
      <c r="AA255" s="90"/>
      <c r="AB255" s="90"/>
      <c r="AC255" s="97" t="s">
        <v>1082</v>
      </c>
      <c r="AD255" s="97" t="s">
        <v>1205</v>
      </c>
      <c r="AE255" s="90" t="b">
        <v>0</v>
      </c>
      <c r="AF255" s="90">
        <v>0</v>
      </c>
      <c r="AG255" s="97" t="s">
        <v>1340</v>
      </c>
      <c r="AH255" s="90" t="b">
        <v>0</v>
      </c>
      <c r="AI255" s="90" t="s">
        <v>1442</v>
      </c>
      <c r="AJ255" s="90"/>
      <c r="AK255" s="97" t="s">
        <v>1338</v>
      </c>
      <c r="AL255" s="90" t="b">
        <v>0</v>
      </c>
      <c r="AM255" s="90">
        <v>0</v>
      </c>
      <c r="AN255" s="97" t="s">
        <v>1338</v>
      </c>
      <c r="AO255" s="97" t="s">
        <v>1450</v>
      </c>
      <c r="AP255" s="90" t="b">
        <v>0</v>
      </c>
      <c r="AQ255" s="97" t="s">
        <v>1205</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5</v>
      </c>
      <c r="BE255" s="89" t="str">
        <f>REPLACE(INDEX(GroupVertices[Group],MATCH(Edges[[#This Row],[Vertex 2]],GroupVertices[Vertex],0)),1,1,"")</f>
        <v>5</v>
      </c>
      <c r="BF255" s="49">
        <v>1</v>
      </c>
      <c r="BG255" s="50">
        <v>11.11111111111111</v>
      </c>
      <c r="BH255" s="49">
        <v>0</v>
      </c>
      <c r="BI255" s="50">
        <v>0</v>
      </c>
      <c r="BJ255" s="49">
        <v>0</v>
      </c>
      <c r="BK255" s="50">
        <v>0</v>
      </c>
      <c r="BL255" s="49">
        <v>8</v>
      </c>
      <c r="BM255" s="50">
        <v>88.88888888888889</v>
      </c>
      <c r="BN255" s="49">
        <v>9</v>
      </c>
    </row>
    <row r="256" spans="1:66" ht="15">
      <c r="A256" s="65" t="s">
        <v>301</v>
      </c>
      <c r="B256" s="65" t="s">
        <v>466</v>
      </c>
      <c r="C256" s="66" t="s">
        <v>5817</v>
      </c>
      <c r="D256" s="67">
        <v>1</v>
      </c>
      <c r="E256" s="68" t="s">
        <v>132</v>
      </c>
      <c r="F256" s="69">
        <v>32</v>
      </c>
      <c r="G256" s="66" t="s">
        <v>51</v>
      </c>
      <c r="H256" s="70"/>
      <c r="I256" s="71"/>
      <c r="J256" s="71"/>
      <c r="K256" s="35" t="s">
        <v>65</v>
      </c>
      <c r="L256" s="79">
        <v>256</v>
      </c>
      <c r="M256" s="79"/>
      <c r="N256" s="73"/>
      <c r="O256" s="90" t="s">
        <v>523</v>
      </c>
      <c r="P256" s="93">
        <v>44529.334861111114</v>
      </c>
      <c r="Q256" s="90" t="s">
        <v>608</v>
      </c>
      <c r="R256" s="90"/>
      <c r="S256" s="90"/>
      <c r="T256" s="90"/>
      <c r="U256" s="96" t="str">
        <f>HYPERLINK("https://pbs.twimg.com/media/FFWKjVjXEAEnZi8.jpg")</f>
        <v>https://pbs.twimg.com/media/FFWKjVjXEAEnZi8.jpg</v>
      </c>
      <c r="V256" s="96" t="str">
        <f>HYPERLINK("https://pbs.twimg.com/media/FFWKjVjXEAEnZi8.jpg")</f>
        <v>https://pbs.twimg.com/media/FFWKjVjXEAEnZi8.jpg</v>
      </c>
      <c r="W256" s="93">
        <v>44529.334861111114</v>
      </c>
      <c r="X256" s="100">
        <v>44529</v>
      </c>
      <c r="Y256" s="97" t="s">
        <v>831</v>
      </c>
      <c r="Z256" s="96" t="str">
        <f>HYPERLINK("https://twitter.com/tmhirvi/status/1465229595775574018")</f>
        <v>https://twitter.com/tmhirvi/status/1465229595775574018</v>
      </c>
      <c r="AA256" s="90"/>
      <c r="AB256" s="90"/>
      <c r="AC256" s="97" t="s">
        <v>1083</v>
      </c>
      <c r="AD256" s="97" t="s">
        <v>1278</v>
      </c>
      <c r="AE256" s="90" t="b">
        <v>0</v>
      </c>
      <c r="AF256" s="90">
        <v>1</v>
      </c>
      <c r="AG256" s="97" t="s">
        <v>1394</v>
      </c>
      <c r="AH256" s="90" t="b">
        <v>0</v>
      </c>
      <c r="AI256" s="90" t="s">
        <v>1442</v>
      </c>
      <c r="AJ256" s="90"/>
      <c r="AK256" s="97" t="s">
        <v>1338</v>
      </c>
      <c r="AL256" s="90" t="b">
        <v>0</v>
      </c>
      <c r="AM256" s="90">
        <v>0</v>
      </c>
      <c r="AN256" s="97" t="s">
        <v>1338</v>
      </c>
      <c r="AO256" s="97" t="s">
        <v>1452</v>
      </c>
      <c r="AP256" s="90" t="b">
        <v>0</v>
      </c>
      <c r="AQ256" s="97" t="s">
        <v>1278</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1</v>
      </c>
      <c r="BF256" s="49">
        <v>0</v>
      </c>
      <c r="BG256" s="50">
        <v>0</v>
      </c>
      <c r="BH256" s="49">
        <v>0</v>
      </c>
      <c r="BI256" s="50">
        <v>0</v>
      </c>
      <c r="BJ256" s="49">
        <v>0</v>
      </c>
      <c r="BK256" s="50">
        <v>0</v>
      </c>
      <c r="BL256" s="49">
        <v>22</v>
      </c>
      <c r="BM256" s="50">
        <v>100</v>
      </c>
      <c r="BN256" s="49">
        <v>22</v>
      </c>
    </row>
    <row r="257" spans="1:66" ht="15">
      <c r="A257" s="65" t="s">
        <v>302</v>
      </c>
      <c r="B257" s="65" t="s">
        <v>281</v>
      </c>
      <c r="C257" s="66" t="s">
        <v>5817</v>
      </c>
      <c r="D257" s="67">
        <v>1</v>
      </c>
      <c r="E257" s="68" t="s">
        <v>132</v>
      </c>
      <c r="F257" s="69">
        <v>32</v>
      </c>
      <c r="G257" s="66" t="s">
        <v>51</v>
      </c>
      <c r="H257" s="70"/>
      <c r="I257" s="71"/>
      <c r="J257" s="71"/>
      <c r="K257" s="35" t="s">
        <v>65</v>
      </c>
      <c r="L257" s="79">
        <v>257</v>
      </c>
      <c r="M257" s="79"/>
      <c r="N257" s="73"/>
      <c r="O257" s="90" t="s">
        <v>522</v>
      </c>
      <c r="P257" s="93">
        <v>44531.18907407407</v>
      </c>
      <c r="Q257" s="90" t="s">
        <v>606</v>
      </c>
      <c r="R257" s="90"/>
      <c r="S257" s="90"/>
      <c r="T257" s="90"/>
      <c r="U257" s="90"/>
      <c r="V257" s="96" t="str">
        <f>HYPERLINK("https://pbs.twimg.com/profile_images/1304076284671258626/Aqh8vkLb_normal.jpg")</f>
        <v>https://pbs.twimg.com/profile_images/1304076284671258626/Aqh8vkLb_normal.jpg</v>
      </c>
      <c r="W257" s="93">
        <v>44531.18907407407</v>
      </c>
      <c r="X257" s="100">
        <v>44531</v>
      </c>
      <c r="Y257" s="97" t="s">
        <v>832</v>
      </c>
      <c r="Z257" s="96" t="str">
        <f>HYPERLINK("https://twitter.com/takapirulainen/status/1465901536391962626")</f>
        <v>https://twitter.com/takapirulainen/status/1465901536391962626</v>
      </c>
      <c r="AA257" s="90"/>
      <c r="AB257" s="90"/>
      <c r="AC257" s="97" t="s">
        <v>1084</v>
      </c>
      <c r="AD257" s="90"/>
      <c r="AE257" s="90" t="b">
        <v>0</v>
      </c>
      <c r="AF257" s="90">
        <v>0</v>
      </c>
      <c r="AG257" s="97" t="s">
        <v>1338</v>
      </c>
      <c r="AH257" s="90" t="b">
        <v>0</v>
      </c>
      <c r="AI257" s="90" t="s">
        <v>1442</v>
      </c>
      <c r="AJ257" s="90"/>
      <c r="AK257" s="97" t="s">
        <v>1338</v>
      </c>
      <c r="AL257" s="90" t="b">
        <v>0</v>
      </c>
      <c r="AM257" s="90">
        <v>6</v>
      </c>
      <c r="AN257" s="97" t="s">
        <v>1132</v>
      </c>
      <c r="AO257" s="97" t="s">
        <v>1450</v>
      </c>
      <c r="AP257" s="90" t="b">
        <v>0</v>
      </c>
      <c r="AQ257" s="97" t="s">
        <v>1132</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302</v>
      </c>
      <c r="B258" s="65" t="s">
        <v>338</v>
      </c>
      <c r="C258" s="66" t="s">
        <v>5817</v>
      </c>
      <c r="D258" s="67">
        <v>1</v>
      </c>
      <c r="E258" s="68" t="s">
        <v>132</v>
      </c>
      <c r="F258" s="69">
        <v>32</v>
      </c>
      <c r="G258" s="66" t="s">
        <v>51</v>
      </c>
      <c r="H258" s="70"/>
      <c r="I258" s="71"/>
      <c r="J258" s="71"/>
      <c r="K258" s="35" t="s">
        <v>65</v>
      </c>
      <c r="L258" s="79">
        <v>258</v>
      </c>
      <c r="M258" s="79"/>
      <c r="N258" s="73"/>
      <c r="O258" s="90" t="s">
        <v>523</v>
      </c>
      <c r="P258" s="93">
        <v>44531.18907407407</v>
      </c>
      <c r="Q258" s="90" t="s">
        <v>606</v>
      </c>
      <c r="R258" s="90"/>
      <c r="S258" s="90"/>
      <c r="T258" s="90"/>
      <c r="U258" s="90"/>
      <c r="V258" s="96" t="str">
        <f>HYPERLINK("https://pbs.twimg.com/profile_images/1304076284671258626/Aqh8vkLb_normal.jpg")</f>
        <v>https://pbs.twimg.com/profile_images/1304076284671258626/Aqh8vkLb_normal.jpg</v>
      </c>
      <c r="W258" s="93">
        <v>44531.18907407407</v>
      </c>
      <c r="X258" s="100">
        <v>44531</v>
      </c>
      <c r="Y258" s="97" t="s">
        <v>832</v>
      </c>
      <c r="Z258" s="96" t="str">
        <f>HYPERLINK("https://twitter.com/takapirulainen/status/1465901536391962626")</f>
        <v>https://twitter.com/takapirulainen/status/1465901536391962626</v>
      </c>
      <c r="AA258" s="90"/>
      <c r="AB258" s="90"/>
      <c r="AC258" s="97" t="s">
        <v>1084</v>
      </c>
      <c r="AD258" s="90"/>
      <c r="AE258" s="90" t="b">
        <v>0</v>
      </c>
      <c r="AF258" s="90">
        <v>0</v>
      </c>
      <c r="AG258" s="97" t="s">
        <v>1338</v>
      </c>
      <c r="AH258" s="90" t="b">
        <v>0</v>
      </c>
      <c r="AI258" s="90" t="s">
        <v>1442</v>
      </c>
      <c r="AJ258" s="90"/>
      <c r="AK258" s="97" t="s">
        <v>1338</v>
      </c>
      <c r="AL258" s="90" t="b">
        <v>0</v>
      </c>
      <c r="AM258" s="90">
        <v>6</v>
      </c>
      <c r="AN258" s="97" t="s">
        <v>1132</v>
      </c>
      <c r="AO258" s="97" t="s">
        <v>1450</v>
      </c>
      <c r="AP258" s="90" t="b">
        <v>0</v>
      </c>
      <c r="AQ258" s="97" t="s">
        <v>1132</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v>0</v>
      </c>
      <c r="BG258" s="50">
        <v>0</v>
      </c>
      <c r="BH258" s="49">
        <v>0</v>
      </c>
      <c r="BI258" s="50">
        <v>0</v>
      </c>
      <c r="BJ258" s="49">
        <v>0</v>
      </c>
      <c r="BK258" s="50">
        <v>0</v>
      </c>
      <c r="BL258" s="49">
        <v>28</v>
      </c>
      <c r="BM258" s="50">
        <v>100</v>
      </c>
      <c r="BN258" s="49">
        <v>28</v>
      </c>
    </row>
    <row r="259" spans="1:66" ht="15">
      <c r="A259" s="65" t="s">
        <v>301</v>
      </c>
      <c r="B259" s="65" t="s">
        <v>302</v>
      </c>
      <c r="C259" s="66" t="s">
        <v>5817</v>
      </c>
      <c r="D259" s="67">
        <v>1</v>
      </c>
      <c r="E259" s="68" t="s">
        <v>132</v>
      </c>
      <c r="F259" s="69">
        <v>32</v>
      </c>
      <c r="G259" s="66" t="s">
        <v>51</v>
      </c>
      <c r="H259" s="70"/>
      <c r="I259" s="71"/>
      <c r="J259" s="71"/>
      <c r="K259" s="35" t="s">
        <v>65</v>
      </c>
      <c r="L259" s="79">
        <v>259</v>
      </c>
      <c r="M259" s="79"/>
      <c r="N259" s="73"/>
      <c r="O259" s="90" t="s">
        <v>524</v>
      </c>
      <c r="P259" s="93">
        <v>44531.21696759259</v>
      </c>
      <c r="Q259" s="90" t="s">
        <v>609</v>
      </c>
      <c r="R259" s="90"/>
      <c r="S259" s="90"/>
      <c r="T259" s="90"/>
      <c r="U259" s="90"/>
      <c r="V259" s="96" t="str">
        <f>HYPERLINK("https://pbs.twimg.com/profile_images/1446487229216567301/mV_Xb8Yv_normal.jpg")</f>
        <v>https://pbs.twimg.com/profile_images/1446487229216567301/mV_Xb8Yv_normal.jpg</v>
      </c>
      <c r="W259" s="93">
        <v>44531.21696759259</v>
      </c>
      <c r="X259" s="100">
        <v>44531</v>
      </c>
      <c r="Y259" s="97" t="s">
        <v>833</v>
      </c>
      <c r="Z259" s="96" t="str">
        <f>HYPERLINK("https://twitter.com/tmhirvi/status/1465911646023528450")</f>
        <v>https://twitter.com/tmhirvi/status/1465911646023528450</v>
      </c>
      <c r="AA259" s="90"/>
      <c r="AB259" s="90"/>
      <c r="AC259" s="97" t="s">
        <v>1085</v>
      </c>
      <c r="AD259" s="97" t="s">
        <v>1279</v>
      </c>
      <c r="AE259" s="90" t="b">
        <v>0</v>
      </c>
      <c r="AF259" s="90">
        <v>2</v>
      </c>
      <c r="AG259" s="97" t="s">
        <v>1395</v>
      </c>
      <c r="AH259" s="90" t="b">
        <v>0</v>
      </c>
      <c r="AI259" s="90" t="s">
        <v>1442</v>
      </c>
      <c r="AJ259" s="90"/>
      <c r="AK259" s="97" t="s">
        <v>1338</v>
      </c>
      <c r="AL259" s="90" t="b">
        <v>0</v>
      </c>
      <c r="AM259" s="90">
        <v>0</v>
      </c>
      <c r="AN259" s="97" t="s">
        <v>1338</v>
      </c>
      <c r="AO259" s="97" t="s">
        <v>1452</v>
      </c>
      <c r="AP259" s="90" t="b">
        <v>0</v>
      </c>
      <c r="AQ259" s="97" t="s">
        <v>1279</v>
      </c>
      <c r="AR259" s="90" t="s">
        <v>187</v>
      </c>
      <c r="AS259" s="90">
        <v>0</v>
      </c>
      <c r="AT259" s="90">
        <v>0</v>
      </c>
      <c r="AU259" s="90"/>
      <c r="AV259" s="90"/>
      <c r="AW259" s="90"/>
      <c r="AX259" s="90"/>
      <c r="AY259" s="90"/>
      <c r="AZ259" s="90"/>
      <c r="BA259" s="90"/>
      <c r="BB259" s="90"/>
      <c r="BC259">
        <v>1</v>
      </c>
      <c r="BD259" s="89" t="str">
        <f>REPLACE(INDEX(GroupVertices[Group],MATCH(Edges[[#This Row],[Vertex 1]],GroupVertices[Vertex],0)),1,1,"")</f>
        <v>1</v>
      </c>
      <c r="BE259" s="89" t="str">
        <f>REPLACE(INDEX(GroupVertices[Group],MATCH(Edges[[#This Row],[Vertex 2]],GroupVertices[Vertex],0)),1,1,"")</f>
        <v>1</v>
      </c>
      <c r="BF259" s="49"/>
      <c r="BG259" s="50"/>
      <c r="BH259" s="49"/>
      <c r="BI259" s="50"/>
      <c r="BJ259" s="49"/>
      <c r="BK259" s="50"/>
      <c r="BL259" s="49"/>
      <c r="BM259" s="50"/>
      <c r="BN259" s="49"/>
    </row>
    <row r="260" spans="1:66" ht="15">
      <c r="A260" s="65" t="s">
        <v>301</v>
      </c>
      <c r="B260" s="65" t="s">
        <v>467</v>
      </c>
      <c r="C260" s="66" t="s">
        <v>5817</v>
      </c>
      <c r="D260" s="67">
        <v>1</v>
      </c>
      <c r="E260" s="68" t="s">
        <v>132</v>
      </c>
      <c r="F260" s="69">
        <v>32</v>
      </c>
      <c r="G260" s="66" t="s">
        <v>51</v>
      </c>
      <c r="H260" s="70"/>
      <c r="I260" s="71"/>
      <c r="J260" s="71"/>
      <c r="K260" s="35" t="s">
        <v>65</v>
      </c>
      <c r="L260" s="79">
        <v>260</v>
      </c>
      <c r="M260" s="79"/>
      <c r="N260" s="73"/>
      <c r="O260" s="90" t="s">
        <v>523</v>
      </c>
      <c r="P260" s="93">
        <v>44531.21696759259</v>
      </c>
      <c r="Q260" s="90" t="s">
        <v>609</v>
      </c>
      <c r="R260" s="90"/>
      <c r="S260" s="90"/>
      <c r="T260" s="90"/>
      <c r="U260" s="90"/>
      <c r="V260" s="96" t="str">
        <f>HYPERLINK("https://pbs.twimg.com/profile_images/1446487229216567301/mV_Xb8Yv_normal.jpg")</f>
        <v>https://pbs.twimg.com/profile_images/1446487229216567301/mV_Xb8Yv_normal.jpg</v>
      </c>
      <c r="W260" s="93">
        <v>44531.21696759259</v>
      </c>
      <c r="X260" s="100">
        <v>44531</v>
      </c>
      <c r="Y260" s="97" t="s">
        <v>833</v>
      </c>
      <c r="Z260" s="96" t="str">
        <f>HYPERLINK("https://twitter.com/tmhirvi/status/1465911646023528450")</f>
        <v>https://twitter.com/tmhirvi/status/1465911646023528450</v>
      </c>
      <c r="AA260" s="90"/>
      <c r="AB260" s="90"/>
      <c r="AC260" s="97" t="s">
        <v>1085</v>
      </c>
      <c r="AD260" s="97" t="s">
        <v>1279</v>
      </c>
      <c r="AE260" s="90" t="b">
        <v>0</v>
      </c>
      <c r="AF260" s="90">
        <v>2</v>
      </c>
      <c r="AG260" s="97" t="s">
        <v>1395</v>
      </c>
      <c r="AH260" s="90" t="b">
        <v>0</v>
      </c>
      <c r="AI260" s="90" t="s">
        <v>1442</v>
      </c>
      <c r="AJ260" s="90"/>
      <c r="AK260" s="97" t="s">
        <v>1338</v>
      </c>
      <c r="AL260" s="90" t="b">
        <v>0</v>
      </c>
      <c r="AM260" s="90">
        <v>0</v>
      </c>
      <c r="AN260" s="97" t="s">
        <v>1338</v>
      </c>
      <c r="AO260" s="97" t="s">
        <v>1452</v>
      </c>
      <c r="AP260" s="90" t="b">
        <v>0</v>
      </c>
      <c r="AQ260" s="97" t="s">
        <v>1279</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1</v>
      </c>
      <c r="BF260" s="49">
        <v>0</v>
      </c>
      <c r="BG260" s="50">
        <v>0</v>
      </c>
      <c r="BH260" s="49">
        <v>0</v>
      </c>
      <c r="BI260" s="50">
        <v>0</v>
      </c>
      <c r="BJ260" s="49">
        <v>0</v>
      </c>
      <c r="BK260" s="50">
        <v>0</v>
      </c>
      <c r="BL260" s="49">
        <v>37</v>
      </c>
      <c r="BM260" s="50">
        <v>100</v>
      </c>
      <c r="BN260" s="49">
        <v>37</v>
      </c>
    </row>
    <row r="261" spans="1:66" ht="15">
      <c r="A261" s="65" t="s">
        <v>301</v>
      </c>
      <c r="B261" s="65" t="s">
        <v>338</v>
      </c>
      <c r="C261" s="66" t="s">
        <v>5818</v>
      </c>
      <c r="D261" s="67">
        <v>1</v>
      </c>
      <c r="E261" s="68" t="s">
        <v>132</v>
      </c>
      <c r="F261" s="69">
        <v>32</v>
      </c>
      <c r="G261" s="66" t="s">
        <v>51</v>
      </c>
      <c r="H261" s="70"/>
      <c r="I261" s="71"/>
      <c r="J261" s="71"/>
      <c r="K261" s="35" t="s">
        <v>65</v>
      </c>
      <c r="L261" s="79">
        <v>261</v>
      </c>
      <c r="M261" s="79"/>
      <c r="N261" s="73"/>
      <c r="O261" s="90" t="s">
        <v>524</v>
      </c>
      <c r="P261" s="93">
        <v>44531.21696759259</v>
      </c>
      <c r="Q261" s="90" t="s">
        <v>609</v>
      </c>
      <c r="R261" s="90"/>
      <c r="S261" s="90"/>
      <c r="T261" s="90"/>
      <c r="U261" s="90"/>
      <c r="V261" s="96" t="str">
        <f>HYPERLINK("https://pbs.twimg.com/profile_images/1446487229216567301/mV_Xb8Yv_normal.jpg")</f>
        <v>https://pbs.twimg.com/profile_images/1446487229216567301/mV_Xb8Yv_normal.jpg</v>
      </c>
      <c r="W261" s="93">
        <v>44531.21696759259</v>
      </c>
      <c r="X261" s="100">
        <v>44531</v>
      </c>
      <c r="Y261" s="97" t="s">
        <v>833</v>
      </c>
      <c r="Z261" s="96" t="str">
        <f>HYPERLINK("https://twitter.com/tmhirvi/status/1465911646023528450")</f>
        <v>https://twitter.com/tmhirvi/status/1465911646023528450</v>
      </c>
      <c r="AA261" s="90"/>
      <c r="AB261" s="90"/>
      <c r="AC261" s="97" t="s">
        <v>1085</v>
      </c>
      <c r="AD261" s="97" t="s">
        <v>1279</v>
      </c>
      <c r="AE261" s="90" t="b">
        <v>0</v>
      </c>
      <c r="AF261" s="90">
        <v>2</v>
      </c>
      <c r="AG261" s="97" t="s">
        <v>1395</v>
      </c>
      <c r="AH261" s="90" t="b">
        <v>0</v>
      </c>
      <c r="AI261" s="90" t="s">
        <v>1442</v>
      </c>
      <c r="AJ261" s="90"/>
      <c r="AK261" s="97" t="s">
        <v>1338</v>
      </c>
      <c r="AL261" s="90" t="b">
        <v>0</v>
      </c>
      <c r="AM261" s="90">
        <v>0</v>
      </c>
      <c r="AN261" s="97" t="s">
        <v>1338</v>
      </c>
      <c r="AO261" s="97" t="s">
        <v>1452</v>
      </c>
      <c r="AP261" s="90" t="b">
        <v>0</v>
      </c>
      <c r="AQ261" s="97" t="s">
        <v>1279</v>
      </c>
      <c r="AR261" s="90" t="s">
        <v>187</v>
      </c>
      <c r="AS261" s="90">
        <v>0</v>
      </c>
      <c r="AT261" s="90">
        <v>0</v>
      </c>
      <c r="AU261" s="90"/>
      <c r="AV261" s="90"/>
      <c r="AW261" s="90"/>
      <c r="AX261" s="90"/>
      <c r="AY261" s="90"/>
      <c r="AZ261" s="90"/>
      <c r="BA261" s="90"/>
      <c r="BB261" s="90"/>
      <c r="BC261">
        <v>2</v>
      </c>
      <c r="BD261" s="89" t="str">
        <f>REPLACE(INDEX(GroupVertices[Group],MATCH(Edges[[#This Row],[Vertex 1]],GroupVertices[Vertex],0)),1,1,"")</f>
        <v>1</v>
      </c>
      <c r="BE261" s="89" t="str">
        <f>REPLACE(INDEX(GroupVertices[Group],MATCH(Edges[[#This Row],[Vertex 2]],GroupVertices[Vertex],0)),1,1,"")</f>
        <v>1</v>
      </c>
      <c r="BF261" s="49"/>
      <c r="BG261" s="50"/>
      <c r="BH261" s="49"/>
      <c r="BI261" s="50"/>
      <c r="BJ261" s="49"/>
      <c r="BK261" s="50"/>
      <c r="BL261" s="49"/>
      <c r="BM261" s="50"/>
      <c r="BN261" s="49"/>
    </row>
    <row r="262" spans="1:66" ht="15">
      <c r="A262" s="65" t="s">
        <v>301</v>
      </c>
      <c r="B262" s="65" t="s">
        <v>338</v>
      </c>
      <c r="C262" s="66" t="s">
        <v>5818</v>
      </c>
      <c r="D262" s="67">
        <v>1</v>
      </c>
      <c r="E262" s="68" t="s">
        <v>132</v>
      </c>
      <c r="F262" s="69">
        <v>32</v>
      </c>
      <c r="G262" s="66" t="s">
        <v>51</v>
      </c>
      <c r="H262" s="70"/>
      <c r="I262" s="71"/>
      <c r="J262" s="71"/>
      <c r="K262" s="35" t="s">
        <v>65</v>
      </c>
      <c r="L262" s="79">
        <v>262</v>
      </c>
      <c r="M262" s="79"/>
      <c r="N262" s="73"/>
      <c r="O262" s="90" t="s">
        <v>524</v>
      </c>
      <c r="P262" s="93">
        <v>44531.293912037036</v>
      </c>
      <c r="Q262" s="90" t="s">
        <v>610</v>
      </c>
      <c r="R262" s="96" t="str">
        <f>HYPERLINK("https://m.xkcd.com/1217/")</f>
        <v>https://m.xkcd.com/1217/</v>
      </c>
      <c r="S262" s="90" t="s">
        <v>701</v>
      </c>
      <c r="T262" s="90"/>
      <c r="U262" s="96" t="str">
        <f>HYPERLINK("https://pbs.twimg.com/media/FFgQN4tXoAoCIDy.jpg")</f>
        <v>https://pbs.twimg.com/media/FFgQN4tXoAoCIDy.jpg</v>
      </c>
      <c r="V262" s="96" t="str">
        <f>HYPERLINK("https://pbs.twimg.com/media/FFgQN4tXoAoCIDy.jpg")</f>
        <v>https://pbs.twimg.com/media/FFgQN4tXoAoCIDy.jpg</v>
      </c>
      <c r="W262" s="93">
        <v>44531.293912037036</v>
      </c>
      <c r="X262" s="100">
        <v>44531</v>
      </c>
      <c r="Y262" s="97" t="s">
        <v>834</v>
      </c>
      <c r="Z262" s="96" t="str">
        <f>HYPERLINK("https://twitter.com/tmhirvi/status/1465939530301816835")</f>
        <v>https://twitter.com/tmhirvi/status/1465939530301816835</v>
      </c>
      <c r="AA262" s="90"/>
      <c r="AB262" s="90"/>
      <c r="AC262" s="97" t="s">
        <v>1086</v>
      </c>
      <c r="AD262" s="97" t="s">
        <v>1280</v>
      </c>
      <c r="AE262" s="90" t="b">
        <v>0</v>
      </c>
      <c r="AF262" s="90">
        <v>1</v>
      </c>
      <c r="AG262" s="97" t="s">
        <v>1396</v>
      </c>
      <c r="AH262" s="90" t="b">
        <v>0</v>
      </c>
      <c r="AI262" s="90" t="s">
        <v>1442</v>
      </c>
      <c r="AJ262" s="90"/>
      <c r="AK262" s="97" t="s">
        <v>1338</v>
      </c>
      <c r="AL262" s="90" t="b">
        <v>0</v>
      </c>
      <c r="AM262" s="90">
        <v>0</v>
      </c>
      <c r="AN262" s="97" t="s">
        <v>1338</v>
      </c>
      <c r="AO262" s="97" t="s">
        <v>1452</v>
      </c>
      <c r="AP262" s="90" t="b">
        <v>0</v>
      </c>
      <c r="AQ262" s="97" t="s">
        <v>1280</v>
      </c>
      <c r="AR262" s="90" t="s">
        <v>187</v>
      </c>
      <c r="AS262" s="90">
        <v>0</v>
      </c>
      <c r="AT262" s="90">
        <v>0</v>
      </c>
      <c r="AU262" s="90"/>
      <c r="AV262" s="90"/>
      <c r="AW262" s="90"/>
      <c r="AX262" s="90"/>
      <c r="AY262" s="90"/>
      <c r="AZ262" s="90"/>
      <c r="BA262" s="90"/>
      <c r="BB262" s="90"/>
      <c r="BC262">
        <v>2</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301</v>
      </c>
      <c r="B263" s="65" t="s">
        <v>303</v>
      </c>
      <c r="C263" s="66" t="s">
        <v>5817</v>
      </c>
      <c r="D263" s="67">
        <v>1</v>
      </c>
      <c r="E263" s="68" t="s">
        <v>132</v>
      </c>
      <c r="F263" s="69">
        <v>32</v>
      </c>
      <c r="G263" s="66" t="s">
        <v>51</v>
      </c>
      <c r="H263" s="70"/>
      <c r="I263" s="71"/>
      <c r="J263" s="71"/>
      <c r="K263" s="35" t="s">
        <v>66</v>
      </c>
      <c r="L263" s="79">
        <v>263</v>
      </c>
      <c r="M263" s="79"/>
      <c r="N263" s="73"/>
      <c r="O263" s="90" t="s">
        <v>523</v>
      </c>
      <c r="P263" s="93">
        <v>44531.293912037036</v>
      </c>
      <c r="Q263" s="90" t="s">
        <v>610</v>
      </c>
      <c r="R263" s="96" t="str">
        <f>HYPERLINK("https://m.xkcd.com/1217/")</f>
        <v>https://m.xkcd.com/1217/</v>
      </c>
      <c r="S263" s="90" t="s">
        <v>701</v>
      </c>
      <c r="T263" s="90"/>
      <c r="U263" s="96" t="str">
        <f>HYPERLINK("https://pbs.twimg.com/media/FFgQN4tXoAoCIDy.jpg")</f>
        <v>https://pbs.twimg.com/media/FFgQN4tXoAoCIDy.jpg</v>
      </c>
      <c r="V263" s="96" t="str">
        <f>HYPERLINK("https://pbs.twimg.com/media/FFgQN4tXoAoCIDy.jpg")</f>
        <v>https://pbs.twimg.com/media/FFgQN4tXoAoCIDy.jpg</v>
      </c>
      <c r="W263" s="93">
        <v>44531.293912037036</v>
      </c>
      <c r="X263" s="100">
        <v>44531</v>
      </c>
      <c r="Y263" s="97" t="s">
        <v>834</v>
      </c>
      <c r="Z263" s="96" t="str">
        <f>HYPERLINK("https://twitter.com/tmhirvi/status/1465939530301816835")</f>
        <v>https://twitter.com/tmhirvi/status/1465939530301816835</v>
      </c>
      <c r="AA263" s="90"/>
      <c r="AB263" s="90"/>
      <c r="AC263" s="97" t="s">
        <v>1086</v>
      </c>
      <c r="AD263" s="97" t="s">
        <v>1280</v>
      </c>
      <c r="AE263" s="90" t="b">
        <v>0</v>
      </c>
      <c r="AF263" s="90">
        <v>1</v>
      </c>
      <c r="AG263" s="97" t="s">
        <v>1396</v>
      </c>
      <c r="AH263" s="90" t="b">
        <v>0</v>
      </c>
      <c r="AI263" s="90" t="s">
        <v>1442</v>
      </c>
      <c r="AJ263" s="90"/>
      <c r="AK263" s="97" t="s">
        <v>1338</v>
      </c>
      <c r="AL263" s="90" t="b">
        <v>0</v>
      </c>
      <c r="AM263" s="90">
        <v>0</v>
      </c>
      <c r="AN263" s="97" t="s">
        <v>1338</v>
      </c>
      <c r="AO263" s="97" t="s">
        <v>1452</v>
      </c>
      <c r="AP263" s="90" t="b">
        <v>0</v>
      </c>
      <c r="AQ263" s="97" t="s">
        <v>1280</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30</v>
      </c>
      <c r="BM263" s="50">
        <v>100</v>
      </c>
      <c r="BN263" s="49">
        <v>30</v>
      </c>
    </row>
    <row r="264" spans="1:66" ht="15">
      <c r="A264" s="65" t="s">
        <v>303</v>
      </c>
      <c r="B264" s="65" t="s">
        <v>301</v>
      </c>
      <c r="C264" s="66" t="s">
        <v>5817</v>
      </c>
      <c r="D264" s="67">
        <v>1</v>
      </c>
      <c r="E264" s="68" t="s">
        <v>132</v>
      </c>
      <c r="F264" s="69">
        <v>32</v>
      </c>
      <c r="G264" s="66" t="s">
        <v>51</v>
      </c>
      <c r="H264" s="70"/>
      <c r="I264" s="71"/>
      <c r="J264" s="71"/>
      <c r="K264" s="35" t="s">
        <v>66</v>
      </c>
      <c r="L264" s="79">
        <v>264</v>
      </c>
      <c r="M264" s="79"/>
      <c r="N264" s="73"/>
      <c r="O264" s="90" t="s">
        <v>523</v>
      </c>
      <c r="P264" s="93">
        <v>44531.303148148145</v>
      </c>
      <c r="Q264" s="90" t="s">
        <v>611</v>
      </c>
      <c r="R264" s="90"/>
      <c r="S264" s="90"/>
      <c r="T264" s="90"/>
      <c r="U264" s="90"/>
      <c r="V264" s="96" t="str">
        <f>HYPERLINK("https://pbs.twimg.com/profile_images/1206848632374407169/0UKXlQr4_normal.jpg")</f>
        <v>https://pbs.twimg.com/profile_images/1206848632374407169/0UKXlQr4_normal.jpg</v>
      </c>
      <c r="W264" s="93">
        <v>44531.303148148145</v>
      </c>
      <c r="X264" s="100">
        <v>44531</v>
      </c>
      <c r="Y264" s="97" t="s">
        <v>835</v>
      </c>
      <c r="Z264" s="96" t="str">
        <f>HYPERLINK("https://twitter.com/matti_lampi/status/1465942875649323008")</f>
        <v>https://twitter.com/matti_lampi/status/1465942875649323008</v>
      </c>
      <c r="AA264" s="90"/>
      <c r="AB264" s="90"/>
      <c r="AC264" s="97" t="s">
        <v>1087</v>
      </c>
      <c r="AD264" s="97" t="s">
        <v>1086</v>
      </c>
      <c r="AE264" s="90" t="b">
        <v>0</v>
      </c>
      <c r="AF264" s="90">
        <v>4</v>
      </c>
      <c r="AG264" s="97" t="s">
        <v>1355</v>
      </c>
      <c r="AH264" s="90" t="b">
        <v>0</v>
      </c>
      <c r="AI264" s="90" t="s">
        <v>1442</v>
      </c>
      <c r="AJ264" s="90"/>
      <c r="AK264" s="97" t="s">
        <v>1338</v>
      </c>
      <c r="AL264" s="90" t="b">
        <v>0</v>
      </c>
      <c r="AM264" s="90">
        <v>0</v>
      </c>
      <c r="AN264" s="97" t="s">
        <v>1338</v>
      </c>
      <c r="AO264" s="97" t="s">
        <v>1452</v>
      </c>
      <c r="AP264" s="90" t="b">
        <v>0</v>
      </c>
      <c r="AQ264" s="97" t="s">
        <v>1086</v>
      </c>
      <c r="AR264" s="90" t="s">
        <v>187</v>
      </c>
      <c r="AS264" s="90">
        <v>0</v>
      </c>
      <c r="AT264" s="90">
        <v>0</v>
      </c>
      <c r="AU264" s="90"/>
      <c r="AV264" s="90"/>
      <c r="AW264" s="90"/>
      <c r="AX264" s="90"/>
      <c r="AY264" s="90"/>
      <c r="AZ264" s="90"/>
      <c r="BA264" s="90"/>
      <c r="BB264" s="90"/>
      <c r="BC264">
        <v>1</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304</v>
      </c>
      <c r="B265" s="65" t="s">
        <v>430</v>
      </c>
      <c r="C265" s="66" t="s">
        <v>5818</v>
      </c>
      <c r="D265" s="67">
        <v>1</v>
      </c>
      <c r="E265" s="68" t="s">
        <v>132</v>
      </c>
      <c r="F265" s="69">
        <v>32</v>
      </c>
      <c r="G265" s="66" t="s">
        <v>51</v>
      </c>
      <c r="H265" s="70"/>
      <c r="I265" s="71"/>
      <c r="J265" s="71"/>
      <c r="K265" s="35" t="s">
        <v>65</v>
      </c>
      <c r="L265" s="79">
        <v>265</v>
      </c>
      <c r="M265" s="79"/>
      <c r="N265" s="73"/>
      <c r="O265" s="90" t="s">
        <v>525</v>
      </c>
      <c r="P265" s="93">
        <v>44531.30987268518</v>
      </c>
      <c r="Q265" s="90" t="s">
        <v>576</v>
      </c>
      <c r="R265" s="90"/>
      <c r="S265" s="90"/>
      <c r="T265" s="97" t="s">
        <v>712</v>
      </c>
      <c r="U265" s="96" t="str">
        <f>HYPERLINK("https://pbs.twimg.com/media/FFc5qVTVQAkWXE2.jpg")</f>
        <v>https://pbs.twimg.com/media/FFc5qVTVQAkWXE2.jpg</v>
      </c>
      <c r="V265" s="96" t="str">
        <f>HYPERLINK("https://pbs.twimg.com/media/FFc5qVTVQAkWXE2.jpg")</f>
        <v>https://pbs.twimg.com/media/FFc5qVTVQAkWXE2.jpg</v>
      </c>
      <c r="W265" s="93">
        <v>44531.30987268518</v>
      </c>
      <c r="X265" s="100">
        <v>44531</v>
      </c>
      <c r="Y265" s="97" t="s">
        <v>836</v>
      </c>
      <c r="Z265" s="96" t="str">
        <f>HYPERLINK("https://twitter.com/ounaskoski/status/1465945312560885761")</f>
        <v>https://twitter.com/ounaskoski/status/1465945312560885761</v>
      </c>
      <c r="AA265" s="90"/>
      <c r="AB265" s="90"/>
      <c r="AC265" s="97" t="s">
        <v>1088</v>
      </c>
      <c r="AD265" s="90"/>
      <c r="AE265" s="90" t="b">
        <v>0</v>
      </c>
      <c r="AF265" s="90">
        <v>0</v>
      </c>
      <c r="AG265" s="97" t="s">
        <v>1338</v>
      </c>
      <c r="AH265" s="90" t="b">
        <v>0</v>
      </c>
      <c r="AI265" s="90" t="s">
        <v>1442</v>
      </c>
      <c r="AJ265" s="90"/>
      <c r="AK265" s="97" t="s">
        <v>1338</v>
      </c>
      <c r="AL265" s="90" t="b">
        <v>0</v>
      </c>
      <c r="AM265" s="90">
        <v>18</v>
      </c>
      <c r="AN265" s="97" t="s">
        <v>1196</v>
      </c>
      <c r="AO265" s="97" t="s">
        <v>1452</v>
      </c>
      <c r="AP265" s="90" t="b">
        <v>0</v>
      </c>
      <c r="AQ265" s="97" t="s">
        <v>1196</v>
      </c>
      <c r="AR265" s="90" t="s">
        <v>187</v>
      </c>
      <c r="AS265" s="90">
        <v>0</v>
      </c>
      <c r="AT265" s="90">
        <v>0</v>
      </c>
      <c r="AU265" s="90"/>
      <c r="AV265" s="90"/>
      <c r="AW265" s="90"/>
      <c r="AX265" s="90"/>
      <c r="AY265" s="90"/>
      <c r="AZ265" s="90"/>
      <c r="BA265" s="90"/>
      <c r="BB265" s="90"/>
      <c r="BC265">
        <v>2</v>
      </c>
      <c r="BD265" s="89" t="str">
        <f>REPLACE(INDEX(GroupVertices[Group],MATCH(Edges[[#This Row],[Vertex 1]],GroupVertices[Vertex],0)),1,1,"")</f>
        <v>3</v>
      </c>
      <c r="BE265" s="89" t="str">
        <f>REPLACE(INDEX(GroupVertices[Group],MATCH(Edges[[#This Row],[Vertex 2]],GroupVertices[Vertex],0)),1,1,"")</f>
        <v>3</v>
      </c>
      <c r="BF265" s="49"/>
      <c r="BG265" s="50"/>
      <c r="BH265" s="49"/>
      <c r="BI265" s="50"/>
      <c r="BJ265" s="49"/>
      <c r="BK265" s="50"/>
      <c r="BL265" s="49"/>
      <c r="BM265" s="50"/>
      <c r="BN265" s="49"/>
    </row>
    <row r="266" spans="1:66" ht="15">
      <c r="A266" s="65" t="s">
        <v>304</v>
      </c>
      <c r="B266" s="65" t="s">
        <v>431</v>
      </c>
      <c r="C266" s="66" t="s">
        <v>5818</v>
      </c>
      <c r="D266" s="67">
        <v>1</v>
      </c>
      <c r="E266" s="68" t="s">
        <v>132</v>
      </c>
      <c r="F266" s="69">
        <v>32</v>
      </c>
      <c r="G266" s="66" t="s">
        <v>51</v>
      </c>
      <c r="H266" s="70"/>
      <c r="I266" s="71"/>
      <c r="J266" s="71"/>
      <c r="K266" s="35" t="s">
        <v>65</v>
      </c>
      <c r="L266" s="79">
        <v>266</v>
      </c>
      <c r="M266" s="79"/>
      <c r="N266" s="73"/>
      <c r="O266" s="90" t="s">
        <v>525</v>
      </c>
      <c r="P266" s="93">
        <v>44531.30987268518</v>
      </c>
      <c r="Q266" s="90" t="s">
        <v>576</v>
      </c>
      <c r="R266" s="90"/>
      <c r="S266" s="90"/>
      <c r="T266" s="97" t="s">
        <v>712</v>
      </c>
      <c r="U266" s="96" t="str">
        <f>HYPERLINK("https://pbs.twimg.com/media/FFc5qVTVQAkWXE2.jpg")</f>
        <v>https://pbs.twimg.com/media/FFc5qVTVQAkWXE2.jpg</v>
      </c>
      <c r="V266" s="96" t="str">
        <f>HYPERLINK("https://pbs.twimg.com/media/FFc5qVTVQAkWXE2.jpg")</f>
        <v>https://pbs.twimg.com/media/FFc5qVTVQAkWXE2.jpg</v>
      </c>
      <c r="W266" s="93">
        <v>44531.30987268518</v>
      </c>
      <c r="X266" s="100">
        <v>44531</v>
      </c>
      <c r="Y266" s="97" t="s">
        <v>836</v>
      </c>
      <c r="Z266" s="96" t="str">
        <f>HYPERLINK("https://twitter.com/ounaskoski/status/1465945312560885761")</f>
        <v>https://twitter.com/ounaskoski/status/1465945312560885761</v>
      </c>
      <c r="AA266" s="90"/>
      <c r="AB266" s="90"/>
      <c r="AC266" s="97" t="s">
        <v>1088</v>
      </c>
      <c r="AD266" s="90"/>
      <c r="AE266" s="90" t="b">
        <v>0</v>
      </c>
      <c r="AF266" s="90">
        <v>0</v>
      </c>
      <c r="AG266" s="97" t="s">
        <v>1338</v>
      </c>
      <c r="AH266" s="90" t="b">
        <v>0</v>
      </c>
      <c r="AI266" s="90" t="s">
        <v>1442</v>
      </c>
      <c r="AJ266" s="90"/>
      <c r="AK266" s="97" t="s">
        <v>1338</v>
      </c>
      <c r="AL266" s="90" t="b">
        <v>0</v>
      </c>
      <c r="AM266" s="90">
        <v>18</v>
      </c>
      <c r="AN266" s="97" t="s">
        <v>1196</v>
      </c>
      <c r="AO266" s="97" t="s">
        <v>1452</v>
      </c>
      <c r="AP266" s="90" t="b">
        <v>0</v>
      </c>
      <c r="AQ266" s="97" t="s">
        <v>1196</v>
      </c>
      <c r="AR266" s="90" t="s">
        <v>187</v>
      </c>
      <c r="AS266" s="90">
        <v>0</v>
      </c>
      <c r="AT266" s="90">
        <v>0</v>
      </c>
      <c r="AU266" s="90"/>
      <c r="AV266" s="90"/>
      <c r="AW266" s="90"/>
      <c r="AX266" s="90"/>
      <c r="AY266" s="90"/>
      <c r="AZ266" s="90"/>
      <c r="BA266" s="90"/>
      <c r="BB266" s="90"/>
      <c r="BC266">
        <v>2</v>
      </c>
      <c r="BD266" s="89" t="str">
        <f>REPLACE(INDEX(GroupVertices[Group],MATCH(Edges[[#This Row],[Vertex 1]],GroupVertices[Vertex],0)),1,1,"")</f>
        <v>3</v>
      </c>
      <c r="BE266" s="89" t="str">
        <f>REPLACE(INDEX(GroupVertices[Group],MATCH(Edges[[#This Row],[Vertex 2]],GroupVertices[Vertex],0)),1,1,"")</f>
        <v>3</v>
      </c>
      <c r="BF266" s="49"/>
      <c r="BG266" s="50"/>
      <c r="BH266" s="49"/>
      <c r="BI266" s="50"/>
      <c r="BJ266" s="49"/>
      <c r="BK266" s="50"/>
      <c r="BL266" s="49"/>
      <c r="BM266" s="50"/>
      <c r="BN266" s="49"/>
    </row>
    <row r="267" spans="1:66" ht="15">
      <c r="A267" s="65" t="s">
        <v>304</v>
      </c>
      <c r="B267" s="65" t="s">
        <v>368</v>
      </c>
      <c r="C267" s="66" t="s">
        <v>5817</v>
      </c>
      <c r="D267" s="67">
        <v>1</v>
      </c>
      <c r="E267" s="68" t="s">
        <v>132</v>
      </c>
      <c r="F267" s="69">
        <v>32</v>
      </c>
      <c r="G267" s="66" t="s">
        <v>51</v>
      </c>
      <c r="H267" s="70"/>
      <c r="I267" s="71"/>
      <c r="J267" s="71"/>
      <c r="K267" s="35" t="s">
        <v>65</v>
      </c>
      <c r="L267" s="79">
        <v>267</v>
      </c>
      <c r="M267" s="79"/>
      <c r="N267" s="73"/>
      <c r="O267" s="90" t="s">
        <v>522</v>
      </c>
      <c r="P267" s="93">
        <v>44531.30987268518</v>
      </c>
      <c r="Q267" s="90" t="s">
        <v>576</v>
      </c>
      <c r="R267" s="90"/>
      <c r="S267" s="90"/>
      <c r="T267" s="97" t="s">
        <v>712</v>
      </c>
      <c r="U267" s="96" t="str">
        <f>HYPERLINK("https://pbs.twimg.com/media/FFc5qVTVQAkWXE2.jpg")</f>
        <v>https://pbs.twimg.com/media/FFc5qVTVQAkWXE2.jpg</v>
      </c>
      <c r="V267" s="96" t="str">
        <f>HYPERLINK("https://pbs.twimg.com/media/FFc5qVTVQAkWXE2.jpg")</f>
        <v>https://pbs.twimg.com/media/FFc5qVTVQAkWXE2.jpg</v>
      </c>
      <c r="W267" s="93">
        <v>44531.30987268518</v>
      </c>
      <c r="X267" s="100">
        <v>44531</v>
      </c>
      <c r="Y267" s="97" t="s">
        <v>836</v>
      </c>
      <c r="Z267" s="96" t="str">
        <f>HYPERLINK("https://twitter.com/ounaskoski/status/1465945312560885761")</f>
        <v>https://twitter.com/ounaskoski/status/1465945312560885761</v>
      </c>
      <c r="AA267" s="90"/>
      <c r="AB267" s="90"/>
      <c r="AC267" s="97" t="s">
        <v>1088</v>
      </c>
      <c r="AD267" s="90"/>
      <c r="AE267" s="90" t="b">
        <v>0</v>
      </c>
      <c r="AF267" s="90">
        <v>0</v>
      </c>
      <c r="AG267" s="97" t="s">
        <v>1338</v>
      </c>
      <c r="AH267" s="90" t="b">
        <v>0</v>
      </c>
      <c r="AI267" s="90" t="s">
        <v>1442</v>
      </c>
      <c r="AJ267" s="90"/>
      <c r="AK267" s="97" t="s">
        <v>1338</v>
      </c>
      <c r="AL267" s="90" t="b">
        <v>0</v>
      </c>
      <c r="AM267" s="90">
        <v>18</v>
      </c>
      <c r="AN267" s="97" t="s">
        <v>1196</v>
      </c>
      <c r="AO267" s="97" t="s">
        <v>1452</v>
      </c>
      <c r="AP267" s="90" t="b">
        <v>0</v>
      </c>
      <c r="AQ267" s="97" t="s">
        <v>1196</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3</v>
      </c>
      <c r="BE267" s="89" t="str">
        <f>REPLACE(INDEX(GroupVertices[Group],MATCH(Edges[[#This Row],[Vertex 2]],GroupVertices[Vertex],0)),1,1,"")</f>
        <v>3</v>
      </c>
      <c r="BF267" s="49">
        <v>0</v>
      </c>
      <c r="BG267" s="50">
        <v>0</v>
      </c>
      <c r="BH267" s="49">
        <v>0</v>
      </c>
      <c r="BI267" s="50">
        <v>0</v>
      </c>
      <c r="BJ267" s="49">
        <v>0</v>
      </c>
      <c r="BK267" s="50">
        <v>0</v>
      </c>
      <c r="BL267" s="49">
        <v>13</v>
      </c>
      <c r="BM267" s="50">
        <v>100</v>
      </c>
      <c r="BN267" s="49">
        <v>13</v>
      </c>
    </row>
    <row r="268" spans="1:66" ht="15">
      <c r="A268" s="65" t="s">
        <v>304</v>
      </c>
      <c r="B268" s="65" t="s">
        <v>430</v>
      </c>
      <c r="C268" s="66" t="s">
        <v>5818</v>
      </c>
      <c r="D268" s="67">
        <v>1</v>
      </c>
      <c r="E268" s="68" t="s">
        <v>132</v>
      </c>
      <c r="F268" s="69">
        <v>32</v>
      </c>
      <c r="G268" s="66" t="s">
        <v>51</v>
      </c>
      <c r="H268" s="70"/>
      <c r="I268" s="71"/>
      <c r="J268" s="71"/>
      <c r="K268" s="35" t="s">
        <v>65</v>
      </c>
      <c r="L268" s="79">
        <v>268</v>
      </c>
      <c r="M268" s="79"/>
      <c r="N268" s="73"/>
      <c r="O268" s="90" t="s">
        <v>525</v>
      </c>
      <c r="P268" s="93">
        <v>44531.30997685185</v>
      </c>
      <c r="Q268" s="90" t="s">
        <v>612</v>
      </c>
      <c r="R268" s="90"/>
      <c r="S268" s="90"/>
      <c r="T268" s="90"/>
      <c r="U268" s="90"/>
      <c r="V268" s="96" t="str">
        <f>HYPERLINK("https://pbs.twimg.com/profile_images/464509102560124928/WAZPA9K9_normal.jpeg")</f>
        <v>https://pbs.twimg.com/profile_images/464509102560124928/WAZPA9K9_normal.jpeg</v>
      </c>
      <c r="W268" s="93">
        <v>44531.30997685185</v>
      </c>
      <c r="X268" s="100">
        <v>44531</v>
      </c>
      <c r="Y268" s="97" t="s">
        <v>837</v>
      </c>
      <c r="Z268" s="96" t="str">
        <f>HYPERLINK("https://twitter.com/ounaskoski/status/1465945350645112833")</f>
        <v>https://twitter.com/ounaskoski/status/1465945350645112833</v>
      </c>
      <c r="AA268" s="90"/>
      <c r="AB268" s="90"/>
      <c r="AC268" s="97" t="s">
        <v>1089</v>
      </c>
      <c r="AD268" s="90"/>
      <c r="AE268" s="90" t="b">
        <v>0</v>
      </c>
      <c r="AF268" s="90">
        <v>0</v>
      </c>
      <c r="AG268" s="97" t="s">
        <v>1338</v>
      </c>
      <c r="AH268" s="90" t="b">
        <v>0</v>
      </c>
      <c r="AI268" s="90" t="s">
        <v>1444</v>
      </c>
      <c r="AJ268" s="90"/>
      <c r="AK268" s="97" t="s">
        <v>1338</v>
      </c>
      <c r="AL268" s="90" t="b">
        <v>0</v>
      </c>
      <c r="AM268" s="90">
        <v>1</v>
      </c>
      <c r="AN268" s="97" t="s">
        <v>1199</v>
      </c>
      <c r="AO268" s="97" t="s">
        <v>1452</v>
      </c>
      <c r="AP268" s="90" t="b">
        <v>0</v>
      </c>
      <c r="AQ268" s="97" t="s">
        <v>1199</v>
      </c>
      <c r="AR268" s="90" t="s">
        <v>187</v>
      </c>
      <c r="AS268" s="90">
        <v>0</v>
      </c>
      <c r="AT268" s="90">
        <v>0</v>
      </c>
      <c r="AU268" s="90"/>
      <c r="AV268" s="90"/>
      <c r="AW268" s="90"/>
      <c r="AX268" s="90"/>
      <c r="AY268" s="90"/>
      <c r="AZ268" s="90"/>
      <c r="BA268" s="90"/>
      <c r="BB268" s="90"/>
      <c r="BC268">
        <v>2</v>
      </c>
      <c r="BD268" s="89" t="str">
        <f>REPLACE(INDEX(GroupVertices[Group],MATCH(Edges[[#This Row],[Vertex 1]],GroupVertices[Vertex],0)),1,1,"")</f>
        <v>3</v>
      </c>
      <c r="BE268" s="89" t="str">
        <f>REPLACE(INDEX(GroupVertices[Group],MATCH(Edges[[#This Row],[Vertex 2]],GroupVertices[Vertex],0)),1,1,"")</f>
        <v>3</v>
      </c>
      <c r="BF268" s="49"/>
      <c r="BG268" s="50"/>
      <c r="BH268" s="49"/>
      <c r="BI268" s="50"/>
      <c r="BJ268" s="49"/>
      <c r="BK268" s="50"/>
      <c r="BL268" s="49"/>
      <c r="BM268" s="50"/>
      <c r="BN268" s="49"/>
    </row>
    <row r="269" spans="1:66" ht="15">
      <c r="A269" s="65" t="s">
        <v>304</v>
      </c>
      <c r="B269" s="65" t="s">
        <v>431</v>
      </c>
      <c r="C269" s="66" t="s">
        <v>5818</v>
      </c>
      <c r="D269" s="67">
        <v>1</v>
      </c>
      <c r="E269" s="68" t="s">
        <v>132</v>
      </c>
      <c r="F269" s="69">
        <v>32</v>
      </c>
      <c r="G269" s="66" t="s">
        <v>51</v>
      </c>
      <c r="H269" s="70"/>
      <c r="I269" s="71"/>
      <c r="J269" s="71"/>
      <c r="K269" s="35" t="s">
        <v>65</v>
      </c>
      <c r="L269" s="79">
        <v>269</v>
      </c>
      <c r="M269" s="79"/>
      <c r="N269" s="73"/>
      <c r="O269" s="90" t="s">
        <v>525</v>
      </c>
      <c r="P269" s="93">
        <v>44531.30997685185</v>
      </c>
      <c r="Q269" s="90" t="s">
        <v>612</v>
      </c>
      <c r="R269" s="90"/>
      <c r="S269" s="90"/>
      <c r="T269" s="90"/>
      <c r="U269" s="90"/>
      <c r="V269" s="96" t="str">
        <f>HYPERLINK("https://pbs.twimg.com/profile_images/464509102560124928/WAZPA9K9_normal.jpeg")</f>
        <v>https://pbs.twimg.com/profile_images/464509102560124928/WAZPA9K9_normal.jpeg</v>
      </c>
      <c r="W269" s="93">
        <v>44531.30997685185</v>
      </c>
      <c r="X269" s="100">
        <v>44531</v>
      </c>
      <c r="Y269" s="97" t="s">
        <v>837</v>
      </c>
      <c r="Z269" s="96" t="str">
        <f>HYPERLINK("https://twitter.com/ounaskoski/status/1465945350645112833")</f>
        <v>https://twitter.com/ounaskoski/status/1465945350645112833</v>
      </c>
      <c r="AA269" s="90"/>
      <c r="AB269" s="90"/>
      <c r="AC269" s="97" t="s">
        <v>1089</v>
      </c>
      <c r="AD269" s="90"/>
      <c r="AE269" s="90" t="b">
        <v>0</v>
      </c>
      <c r="AF269" s="90">
        <v>0</v>
      </c>
      <c r="AG269" s="97" t="s">
        <v>1338</v>
      </c>
      <c r="AH269" s="90" t="b">
        <v>0</v>
      </c>
      <c r="AI269" s="90" t="s">
        <v>1444</v>
      </c>
      <c r="AJ269" s="90"/>
      <c r="AK269" s="97" t="s">
        <v>1338</v>
      </c>
      <c r="AL269" s="90" t="b">
        <v>0</v>
      </c>
      <c r="AM269" s="90">
        <v>1</v>
      </c>
      <c r="AN269" s="97" t="s">
        <v>1199</v>
      </c>
      <c r="AO269" s="97" t="s">
        <v>1452</v>
      </c>
      <c r="AP269" s="90" t="b">
        <v>0</v>
      </c>
      <c r="AQ269" s="97" t="s">
        <v>1199</v>
      </c>
      <c r="AR269" s="90" t="s">
        <v>187</v>
      </c>
      <c r="AS269" s="90">
        <v>0</v>
      </c>
      <c r="AT269" s="90">
        <v>0</v>
      </c>
      <c r="AU269" s="90"/>
      <c r="AV269" s="90"/>
      <c r="AW269" s="90"/>
      <c r="AX269" s="90"/>
      <c r="AY269" s="90"/>
      <c r="AZ269" s="90"/>
      <c r="BA269" s="90"/>
      <c r="BB269" s="90"/>
      <c r="BC269">
        <v>2</v>
      </c>
      <c r="BD269" s="89" t="str">
        <f>REPLACE(INDEX(GroupVertices[Group],MATCH(Edges[[#This Row],[Vertex 1]],GroupVertices[Vertex],0)),1,1,"")</f>
        <v>3</v>
      </c>
      <c r="BE269" s="89" t="str">
        <f>REPLACE(INDEX(GroupVertices[Group],MATCH(Edges[[#This Row],[Vertex 2]],GroupVertices[Vertex],0)),1,1,"")</f>
        <v>3</v>
      </c>
      <c r="BF269" s="49"/>
      <c r="BG269" s="50"/>
      <c r="BH269" s="49"/>
      <c r="BI269" s="50"/>
      <c r="BJ269" s="49"/>
      <c r="BK269" s="50"/>
      <c r="BL269" s="49"/>
      <c r="BM269" s="50"/>
      <c r="BN269" s="49"/>
    </row>
    <row r="270" spans="1:66" ht="15">
      <c r="A270" s="65" t="s">
        <v>304</v>
      </c>
      <c r="B270" s="65" t="s">
        <v>324</v>
      </c>
      <c r="C270" s="66" t="s">
        <v>5817</v>
      </c>
      <c r="D270" s="67">
        <v>1</v>
      </c>
      <c r="E270" s="68" t="s">
        <v>132</v>
      </c>
      <c r="F270" s="69">
        <v>32</v>
      </c>
      <c r="G270" s="66" t="s">
        <v>51</v>
      </c>
      <c r="H270" s="70"/>
      <c r="I270" s="71"/>
      <c r="J270" s="71"/>
      <c r="K270" s="35" t="s">
        <v>65</v>
      </c>
      <c r="L270" s="79">
        <v>270</v>
      </c>
      <c r="M270" s="79"/>
      <c r="N270" s="73"/>
      <c r="O270" s="90" t="s">
        <v>525</v>
      </c>
      <c r="P270" s="93">
        <v>44531.30997685185</v>
      </c>
      <c r="Q270" s="90" t="s">
        <v>612</v>
      </c>
      <c r="R270" s="90"/>
      <c r="S270" s="90"/>
      <c r="T270" s="90"/>
      <c r="U270" s="90"/>
      <c r="V270" s="96" t="str">
        <f>HYPERLINK("https://pbs.twimg.com/profile_images/464509102560124928/WAZPA9K9_normal.jpeg")</f>
        <v>https://pbs.twimg.com/profile_images/464509102560124928/WAZPA9K9_normal.jpeg</v>
      </c>
      <c r="W270" s="93">
        <v>44531.30997685185</v>
      </c>
      <c r="X270" s="100">
        <v>44531</v>
      </c>
      <c r="Y270" s="97" t="s">
        <v>837</v>
      </c>
      <c r="Z270" s="96" t="str">
        <f>HYPERLINK("https://twitter.com/ounaskoski/status/1465945350645112833")</f>
        <v>https://twitter.com/ounaskoski/status/1465945350645112833</v>
      </c>
      <c r="AA270" s="90"/>
      <c r="AB270" s="90"/>
      <c r="AC270" s="97" t="s">
        <v>1089</v>
      </c>
      <c r="AD270" s="90"/>
      <c r="AE270" s="90" t="b">
        <v>0</v>
      </c>
      <c r="AF270" s="90">
        <v>0</v>
      </c>
      <c r="AG270" s="97" t="s">
        <v>1338</v>
      </c>
      <c r="AH270" s="90" t="b">
        <v>0</v>
      </c>
      <c r="AI270" s="90" t="s">
        <v>1444</v>
      </c>
      <c r="AJ270" s="90"/>
      <c r="AK270" s="97" t="s">
        <v>1338</v>
      </c>
      <c r="AL270" s="90" t="b">
        <v>0</v>
      </c>
      <c r="AM270" s="90">
        <v>1</v>
      </c>
      <c r="AN270" s="97" t="s">
        <v>1199</v>
      </c>
      <c r="AO270" s="97" t="s">
        <v>1452</v>
      </c>
      <c r="AP270" s="90" t="b">
        <v>0</v>
      </c>
      <c r="AQ270" s="97" t="s">
        <v>1199</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3</v>
      </c>
      <c r="BE270" s="89" t="str">
        <f>REPLACE(INDEX(GroupVertices[Group],MATCH(Edges[[#This Row],[Vertex 2]],GroupVertices[Vertex],0)),1,1,"")</f>
        <v>3</v>
      </c>
      <c r="BF270" s="49"/>
      <c r="BG270" s="50"/>
      <c r="BH270" s="49"/>
      <c r="BI270" s="50"/>
      <c r="BJ270" s="49"/>
      <c r="BK270" s="50"/>
      <c r="BL270" s="49"/>
      <c r="BM270" s="50"/>
      <c r="BN270" s="49"/>
    </row>
    <row r="271" spans="1:66" ht="15">
      <c r="A271" s="65" t="s">
        <v>304</v>
      </c>
      <c r="B271" s="65" t="s">
        <v>367</v>
      </c>
      <c r="C271" s="66" t="s">
        <v>5817</v>
      </c>
      <c r="D271" s="67">
        <v>1</v>
      </c>
      <c r="E271" s="68" t="s">
        <v>132</v>
      </c>
      <c r="F271" s="69">
        <v>32</v>
      </c>
      <c r="G271" s="66" t="s">
        <v>51</v>
      </c>
      <c r="H271" s="70"/>
      <c r="I271" s="71"/>
      <c r="J271" s="71"/>
      <c r="K271" s="35" t="s">
        <v>65</v>
      </c>
      <c r="L271" s="79">
        <v>271</v>
      </c>
      <c r="M271" s="79"/>
      <c r="N271" s="73"/>
      <c r="O271" s="90" t="s">
        <v>522</v>
      </c>
      <c r="P271" s="93">
        <v>44531.30997685185</v>
      </c>
      <c r="Q271" s="90" t="s">
        <v>612</v>
      </c>
      <c r="R271" s="90"/>
      <c r="S271" s="90"/>
      <c r="T271" s="90"/>
      <c r="U271" s="90"/>
      <c r="V271" s="96" t="str">
        <f>HYPERLINK("https://pbs.twimg.com/profile_images/464509102560124928/WAZPA9K9_normal.jpeg")</f>
        <v>https://pbs.twimg.com/profile_images/464509102560124928/WAZPA9K9_normal.jpeg</v>
      </c>
      <c r="W271" s="93">
        <v>44531.30997685185</v>
      </c>
      <c r="X271" s="100">
        <v>44531</v>
      </c>
      <c r="Y271" s="97" t="s">
        <v>837</v>
      </c>
      <c r="Z271" s="96" t="str">
        <f>HYPERLINK("https://twitter.com/ounaskoski/status/1465945350645112833")</f>
        <v>https://twitter.com/ounaskoski/status/1465945350645112833</v>
      </c>
      <c r="AA271" s="90"/>
      <c r="AB271" s="90"/>
      <c r="AC271" s="97" t="s">
        <v>1089</v>
      </c>
      <c r="AD271" s="90"/>
      <c r="AE271" s="90" t="b">
        <v>0</v>
      </c>
      <c r="AF271" s="90">
        <v>0</v>
      </c>
      <c r="AG271" s="97" t="s">
        <v>1338</v>
      </c>
      <c r="AH271" s="90" t="b">
        <v>0</v>
      </c>
      <c r="AI271" s="90" t="s">
        <v>1444</v>
      </c>
      <c r="AJ271" s="90"/>
      <c r="AK271" s="97" t="s">
        <v>1338</v>
      </c>
      <c r="AL271" s="90" t="b">
        <v>0</v>
      </c>
      <c r="AM271" s="90">
        <v>1</v>
      </c>
      <c r="AN271" s="97" t="s">
        <v>1199</v>
      </c>
      <c r="AO271" s="97" t="s">
        <v>1452</v>
      </c>
      <c r="AP271" s="90" t="b">
        <v>0</v>
      </c>
      <c r="AQ271" s="97" t="s">
        <v>1199</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3</v>
      </c>
      <c r="BE271" s="89" t="str">
        <f>REPLACE(INDEX(GroupVertices[Group],MATCH(Edges[[#This Row],[Vertex 2]],GroupVertices[Vertex],0)),1,1,"")</f>
        <v>3</v>
      </c>
      <c r="BF271" s="49">
        <v>0</v>
      </c>
      <c r="BG271" s="50">
        <v>0</v>
      </c>
      <c r="BH271" s="49">
        <v>0</v>
      </c>
      <c r="BI271" s="50">
        <v>0</v>
      </c>
      <c r="BJ271" s="49">
        <v>0</v>
      </c>
      <c r="BK271" s="50">
        <v>0</v>
      </c>
      <c r="BL271" s="49">
        <v>5</v>
      </c>
      <c r="BM271" s="50">
        <v>100</v>
      </c>
      <c r="BN271" s="49">
        <v>5</v>
      </c>
    </row>
    <row r="272" spans="1:66" ht="15">
      <c r="A272" s="65" t="s">
        <v>304</v>
      </c>
      <c r="B272" s="65" t="s">
        <v>368</v>
      </c>
      <c r="C272" s="66" t="s">
        <v>5817</v>
      </c>
      <c r="D272" s="67">
        <v>1</v>
      </c>
      <c r="E272" s="68" t="s">
        <v>132</v>
      </c>
      <c r="F272" s="69">
        <v>32</v>
      </c>
      <c r="G272" s="66" t="s">
        <v>51</v>
      </c>
      <c r="H272" s="70"/>
      <c r="I272" s="71"/>
      <c r="J272" s="71"/>
      <c r="K272" s="35" t="s">
        <v>65</v>
      </c>
      <c r="L272" s="79">
        <v>272</v>
      </c>
      <c r="M272" s="79"/>
      <c r="N272" s="73"/>
      <c r="O272" s="90" t="s">
        <v>523</v>
      </c>
      <c r="P272" s="93">
        <v>44531.30997685185</v>
      </c>
      <c r="Q272" s="90" t="s">
        <v>612</v>
      </c>
      <c r="R272" s="90"/>
      <c r="S272" s="90"/>
      <c r="T272" s="90"/>
      <c r="U272" s="90"/>
      <c r="V272" s="96" t="str">
        <f>HYPERLINK("https://pbs.twimg.com/profile_images/464509102560124928/WAZPA9K9_normal.jpeg")</f>
        <v>https://pbs.twimg.com/profile_images/464509102560124928/WAZPA9K9_normal.jpeg</v>
      </c>
      <c r="W272" s="93">
        <v>44531.30997685185</v>
      </c>
      <c r="X272" s="100">
        <v>44531</v>
      </c>
      <c r="Y272" s="97" t="s">
        <v>837</v>
      </c>
      <c r="Z272" s="96" t="str">
        <f>HYPERLINK("https://twitter.com/ounaskoski/status/1465945350645112833")</f>
        <v>https://twitter.com/ounaskoski/status/1465945350645112833</v>
      </c>
      <c r="AA272" s="90"/>
      <c r="AB272" s="90"/>
      <c r="AC272" s="97" t="s">
        <v>1089</v>
      </c>
      <c r="AD272" s="90"/>
      <c r="AE272" s="90" t="b">
        <v>0</v>
      </c>
      <c r="AF272" s="90">
        <v>0</v>
      </c>
      <c r="AG272" s="97" t="s">
        <v>1338</v>
      </c>
      <c r="AH272" s="90" t="b">
        <v>0</v>
      </c>
      <c r="AI272" s="90" t="s">
        <v>1444</v>
      </c>
      <c r="AJ272" s="90"/>
      <c r="AK272" s="97" t="s">
        <v>1338</v>
      </c>
      <c r="AL272" s="90" t="b">
        <v>0</v>
      </c>
      <c r="AM272" s="90">
        <v>1</v>
      </c>
      <c r="AN272" s="97" t="s">
        <v>1199</v>
      </c>
      <c r="AO272" s="97" t="s">
        <v>1452</v>
      </c>
      <c r="AP272" s="90" t="b">
        <v>0</v>
      </c>
      <c r="AQ272" s="97" t="s">
        <v>1199</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3</v>
      </c>
      <c r="BE272" s="89" t="str">
        <f>REPLACE(INDEX(GroupVertices[Group],MATCH(Edges[[#This Row],[Vertex 2]],GroupVertices[Vertex],0)),1,1,"")</f>
        <v>3</v>
      </c>
      <c r="BF272" s="49"/>
      <c r="BG272" s="50"/>
      <c r="BH272" s="49"/>
      <c r="BI272" s="50"/>
      <c r="BJ272" s="49"/>
      <c r="BK272" s="50"/>
      <c r="BL272" s="49"/>
      <c r="BM272" s="50"/>
      <c r="BN272" s="49"/>
    </row>
    <row r="273" spans="1:66" ht="15">
      <c r="A273" s="65" t="s">
        <v>305</v>
      </c>
      <c r="B273" s="65" t="s">
        <v>465</v>
      </c>
      <c r="C273" s="66" t="s">
        <v>5817</v>
      </c>
      <c r="D273" s="67">
        <v>1</v>
      </c>
      <c r="E273" s="68" t="s">
        <v>132</v>
      </c>
      <c r="F273" s="69">
        <v>32</v>
      </c>
      <c r="G273" s="66" t="s">
        <v>51</v>
      </c>
      <c r="H273" s="70"/>
      <c r="I273" s="71"/>
      <c r="J273" s="71"/>
      <c r="K273" s="35" t="s">
        <v>65</v>
      </c>
      <c r="L273" s="79">
        <v>273</v>
      </c>
      <c r="M273" s="79"/>
      <c r="N273" s="73"/>
      <c r="O273" s="90" t="s">
        <v>524</v>
      </c>
      <c r="P273" s="93">
        <v>44531.33193287037</v>
      </c>
      <c r="Q273" s="90" t="s">
        <v>613</v>
      </c>
      <c r="R273" s="90"/>
      <c r="S273" s="90"/>
      <c r="T273" s="90"/>
      <c r="U273" s="90"/>
      <c r="V273" s="96" t="str">
        <f>HYPERLINK("https://pbs.twimg.com/profile_images/1347875325993230336/emyxHmuv_normal.jpg")</f>
        <v>https://pbs.twimg.com/profile_images/1347875325993230336/emyxHmuv_normal.jpg</v>
      </c>
      <c r="W273" s="93">
        <v>44531.33193287037</v>
      </c>
      <c r="X273" s="100">
        <v>44531</v>
      </c>
      <c r="Y273" s="97" t="s">
        <v>838</v>
      </c>
      <c r="Z273" s="96" t="str">
        <f>HYPERLINK("https://twitter.com/hezerminator/status/1465953308603031554")</f>
        <v>https://twitter.com/hezerminator/status/1465953308603031554</v>
      </c>
      <c r="AA273" s="90"/>
      <c r="AB273" s="90"/>
      <c r="AC273" s="97" t="s">
        <v>1090</v>
      </c>
      <c r="AD273" s="97" t="s">
        <v>1281</v>
      </c>
      <c r="AE273" s="90" t="b">
        <v>0</v>
      </c>
      <c r="AF273" s="90">
        <v>1</v>
      </c>
      <c r="AG273" s="97" t="s">
        <v>1397</v>
      </c>
      <c r="AH273" s="90" t="b">
        <v>0</v>
      </c>
      <c r="AI273" s="90" t="s">
        <v>1442</v>
      </c>
      <c r="AJ273" s="90"/>
      <c r="AK273" s="97" t="s">
        <v>1338</v>
      </c>
      <c r="AL273" s="90" t="b">
        <v>0</v>
      </c>
      <c r="AM273" s="90">
        <v>0</v>
      </c>
      <c r="AN273" s="97" t="s">
        <v>1338</v>
      </c>
      <c r="AO273" s="97" t="s">
        <v>1452</v>
      </c>
      <c r="AP273" s="90" t="b">
        <v>0</v>
      </c>
      <c r="AQ273" s="97" t="s">
        <v>1281</v>
      </c>
      <c r="AR273" s="90" t="s">
        <v>187</v>
      </c>
      <c r="AS273" s="90">
        <v>0</v>
      </c>
      <c r="AT273" s="90">
        <v>0</v>
      </c>
      <c r="AU273" s="90"/>
      <c r="AV273" s="90"/>
      <c r="AW273" s="90"/>
      <c r="AX273" s="90"/>
      <c r="AY273" s="90"/>
      <c r="AZ273" s="90"/>
      <c r="BA273" s="90"/>
      <c r="BB273" s="90"/>
      <c r="BC273">
        <v>1</v>
      </c>
      <c r="BD273" s="89" t="str">
        <f>REPLACE(INDEX(GroupVertices[Group],MATCH(Edges[[#This Row],[Vertex 1]],GroupVertices[Vertex],0)),1,1,"")</f>
        <v>2</v>
      </c>
      <c r="BE273" s="89" t="str">
        <f>REPLACE(INDEX(GroupVertices[Group],MATCH(Edges[[#This Row],[Vertex 2]],GroupVertices[Vertex],0)),1,1,"")</f>
        <v>2</v>
      </c>
      <c r="BF273" s="49"/>
      <c r="BG273" s="50"/>
      <c r="BH273" s="49"/>
      <c r="BI273" s="50"/>
      <c r="BJ273" s="49"/>
      <c r="BK273" s="50"/>
      <c r="BL273" s="49"/>
      <c r="BM273" s="50"/>
      <c r="BN273" s="49"/>
    </row>
    <row r="274" spans="1:66" ht="15">
      <c r="A274" s="65" t="s">
        <v>292</v>
      </c>
      <c r="B274" s="65" t="s">
        <v>458</v>
      </c>
      <c r="C274" s="66" t="s">
        <v>5818</v>
      </c>
      <c r="D274" s="67">
        <v>1</v>
      </c>
      <c r="E274" s="68" t="s">
        <v>132</v>
      </c>
      <c r="F274" s="69">
        <v>32</v>
      </c>
      <c r="G274" s="66" t="s">
        <v>51</v>
      </c>
      <c r="H274" s="70"/>
      <c r="I274" s="71"/>
      <c r="J274" s="71"/>
      <c r="K274" s="35" t="s">
        <v>65</v>
      </c>
      <c r="L274" s="79">
        <v>274</v>
      </c>
      <c r="M274" s="79"/>
      <c r="N274" s="73"/>
      <c r="O274" s="90" t="s">
        <v>524</v>
      </c>
      <c r="P274" s="93">
        <v>44531.17172453704</v>
      </c>
      <c r="Q274" s="90" t="s">
        <v>614</v>
      </c>
      <c r="R274" s="96" t="str">
        <f>HYPERLINK("https://fi.wikipedia.org/wiki/Ivermektiini")</f>
        <v>https://fi.wikipedia.org/wiki/Ivermektiini</v>
      </c>
      <c r="S274" s="90" t="s">
        <v>700</v>
      </c>
      <c r="T274" s="90"/>
      <c r="U274" s="90"/>
      <c r="V274" s="96" t="str">
        <f>HYPERLINK("https://pbs.twimg.com/profile_images/378800000524029180/9159908f71fbde4047e7c061a4ee941d_normal.jpeg")</f>
        <v>https://pbs.twimg.com/profile_images/378800000524029180/9159908f71fbde4047e7c061a4ee941d_normal.jpeg</v>
      </c>
      <c r="W274" s="93">
        <v>44531.17172453704</v>
      </c>
      <c r="X274" s="100">
        <v>44531</v>
      </c>
      <c r="Y274" s="97" t="s">
        <v>839</v>
      </c>
      <c r="Z274" s="96" t="str">
        <f>HYPERLINK("https://twitter.com/penjussi/status/1465895250204008453")</f>
        <v>https://twitter.com/penjussi/status/1465895250204008453</v>
      </c>
      <c r="AA274" s="90"/>
      <c r="AB274" s="90"/>
      <c r="AC274" s="97" t="s">
        <v>1091</v>
      </c>
      <c r="AD274" s="97" t="s">
        <v>1269</v>
      </c>
      <c r="AE274" s="90" t="b">
        <v>0</v>
      </c>
      <c r="AF274" s="90">
        <v>1</v>
      </c>
      <c r="AG274" s="97" t="s">
        <v>1385</v>
      </c>
      <c r="AH274" s="90" t="b">
        <v>0</v>
      </c>
      <c r="AI274" s="90" t="s">
        <v>1442</v>
      </c>
      <c r="AJ274" s="90"/>
      <c r="AK274" s="97" t="s">
        <v>1338</v>
      </c>
      <c r="AL274" s="90" t="b">
        <v>0</v>
      </c>
      <c r="AM274" s="90">
        <v>0</v>
      </c>
      <c r="AN274" s="97" t="s">
        <v>1338</v>
      </c>
      <c r="AO274" s="97" t="s">
        <v>1450</v>
      </c>
      <c r="AP274" s="90" t="b">
        <v>0</v>
      </c>
      <c r="AQ274" s="97" t="s">
        <v>1269</v>
      </c>
      <c r="AR274" s="90" t="s">
        <v>187</v>
      </c>
      <c r="AS274" s="90">
        <v>0</v>
      </c>
      <c r="AT274" s="90">
        <v>0</v>
      </c>
      <c r="AU274" s="90"/>
      <c r="AV274" s="90"/>
      <c r="AW274" s="90"/>
      <c r="AX274" s="90"/>
      <c r="AY274" s="90"/>
      <c r="AZ274" s="90"/>
      <c r="BA274" s="90"/>
      <c r="BB274" s="90"/>
      <c r="BC274">
        <v>4</v>
      </c>
      <c r="BD274" s="89" t="str">
        <f>REPLACE(INDEX(GroupVertices[Group],MATCH(Edges[[#This Row],[Vertex 1]],GroupVertices[Vertex],0)),1,1,"")</f>
        <v>2</v>
      </c>
      <c r="BE274" s="89" t="str">
        <f>REPLACE(INDEX(GroupVertices[Group],MATCH(Edges[[#This Row],[Vertex 2]],GroupVertices[Vertex],0)),1,1,"")</f>
        <v>2</v>
      </c>
      <c r="BF274" s="49"/>
      <c r="BG274" s="50"/>
      <c r="BH274" s="49"/>
      <c r="BI274" s="50"/>
      <c r="BJ274" s="49"/>
      <c r="BK274" s="50"/>
      <c r="BL274" s="49"/>
      <c r="BM274" s="50"/>
      <c r="BN274" s="49"/>
    </row>
    <row r="275" spans="1:66" ht="15">
      <c r="A275" s="65" t="s">
        <v>292</v>
      </c>
      <c r="B275" s="65" t="s">
        <v>459</v>
      </c>
      <c r="C275" s="66" t="s">
        <v>5818</v>
      </c>
      <c r="D275" s="67">
        <v>1</v>
      </c>
      <c r="E275" s="68" t="s">
        <v>132</v>
      </c>
      <c r="F275" s="69">
        <v>32</v>
      </c>
      <c r="G275" s="66" t="s">
        <v>51</v>
      </c>
      <c r="H275" s="70"/>
      <c r="I275" s="71"/>
      <c r="J275" s="71"/>
      <c r="K275" s="35" t="s">
        <v>65</v>
      </c>
      <c r="L275" s="79">
        <v>275</v>
      </c>
      <c r="M275" s="79"/>
      <c r="N275" s="73"/>
      <c r="O275" s="90" t="s">
        <v>523</v>
      </c>
      <c r="P275" s="93">
        <v>44531.17172453704</v>
      </c>
      <c r="Q275" s="90" t="s">
        <v>614</v>
      </c>
      <c r="R275" s="96" t="str">
        <f>HYPERLINK("https://fi.wikipedia.org/wiki/Ivermektiini")</f>
        <v>https://fi.wikipedia.org/wiki/Ivermektiini</v>
      </c>
      <c r="S275" s="90" t="s">
        <v>700</v>
      </c>
      <c r="T275" s="90"/>
      <c r="U275" s="90"/>
      <c r="V275" s="96" t="str">
        <f>HYPERLINK("https://pbs.twimg.com/profile_images/378800000524029180/9159908f71fbde4047e7c061a4ee941d_normal.jpeg")</f>
        <v>https://pbs.twimg.com/profile_images/378800000524029180/9159908f71fbde4047e7c061a4ee941d_normal.jpeg</v>
      </c>
      <c r="W275" s="93">
        <v>44531.17172453704</v>
      </c>
      <c r="X275" s="100">
        <v>44531</v>
      </c>
      <c r="Y275" s="97" t="s">
        <v>839</v>
      </c>
      <c r="Z275" s="96" t="str">
        <f>HYPERLINK("https://twitter.com/penjussi/status/1465895250204008453")</f>
        <v>https://twitter.com/penjussi/status/1465895250204008453</v>
      </c>
      <c r="AA275" s="90"/>
      <c r="AB275" s="90"/>
      <c r="AC275" s="97" t="s">
        <v>1091</v>
      </c>
      <c r="AD275" s="97" t="s">
        <v>1269</v>
      </c>
      <c r="AE275" s="90" t="b">
        <v>0</v>
      </c>
      <c r="AF275" s="90">
        <v>1</v>
      </c>
      <c r="AG275" s="97" t="s">
        <v>1385</v>
      </c>
      <c r="AH275" s="90" t="b">
        <v>0</v>
      </c>
      <c r="AI275" s="90" t="s">
        <v>1442</v>
      </c>
      <c r="AJ275" s="90"/>
      <c r="AK275" s="97" t="s">
        <v>1338</v>
      </c>
      <c r="AL275" s="90" t="b">
        <v>0</v>
      </c>
      <c r="AM275" s="90">
        <v>0</v>
      </c>
      <c r="AN275" s="97" t="s">
        <v>1338</v>
      </c>
      <c r="AO275" s="97" t="s">
        <v>1450</v>
      </c>
      <c r="AP275" s="90" t="b">
        <v>0</v>
      </c>
      <c r="AQ275" s="97" t="s">
        <v>1269</v>
      </c>
      <c r="AR275" s="90" t="s">
        <v>187</v>
      </c>
      <c r="AS275" s="90">
        <v>0</v>
      </c>
      <c r="AT275" s="90">
        <v>0</v>
      </c>
      <c r="AU275" s="90"/>
      <c r="AV275" s="90"/>
      <c r="AW275" s="90"/>
      <c r="AX275" s="90"/>
      <c r="AY275" s="90"/>
      <c r="AZ275" s="90"/>
      <c r="BA275" s="90"/>
      <c r="BB275" s="90"/>
      <c r="BC275">
        <v>2</v>
      </c>
      <c r="BD275" s="89" t="str">
        <f>REPLACE(INDEX(GroupVertices[Group],MATCH(Edges[[#This Row],[Vertex 1]],GroupVertices[Vertex],0)),1,1,"")</f>
        <v>2</v>
      </c>
      <c r="BE275" s="89" t="str">
        <f>REPLACE(INDEX(GroupVertices[Group],MATCH(Edges[[#This Row],[Vertex 2]],GroupVertices[Vertex],0)),1,1,"")</f>
        <v>2</v>
      </c>
      <c r="BF275" s="49">
        <v>0</v>
      </c>
      <c r="BG275" s="50">
        <v>0</v>
      </c>
      <c r="BH275" s="49">
        <v>0</v>
      </c>
      <c r="BI275" s="50">
        <v>0</v>
      </c>
      <c r="BJ275" s="49">
        <v>0</v>
      </c>
      <c r="BK275" s="50">
        <v>0</v>
      </c>
      <c r="BL275" s="49">
        <v>14</v>
      </c>
      <c r="BM275" s="50">
        <v>100</v>
      </c>
      <c r="BN275" s="49">
        <v>14</v>
      </c>
    </row>
    <row r="276" spans="1:66" ht="15">
      <c r="A276" s="65" t="s">
        <v>292</v>
      </c>
      <c r="B276" s="65" t="s">
        <v>458</v>
      </c>
      <c r="C276" s="66" t="s">
        <v>5818</v>
      </c>
      <c r="D276" s="67">
        <v>1</v>
      </c>
      <c r="E276" s="68" t="s">
        <v>132</v>
      </c>
      <c r="F276" s="69">
        <v>32</v>
      </c>
      <c r="G276" s="66" t="s">
        <v>51</v>
      </c>
      <c r="H276" s="70"/>
      <c r="I276" s="71"/>
      <c r="J276" s="71"/>
      <c r="K276" s="35" t="s">
        <v>65</v>
      </c>
      <c r="L276" s="79">
        <v>276</v>
      </c>
      <c r="M276" s="79"/>
      <c r="N276" s="73"/>
      <c r="O276" s="90" t="s">
        <v>524</v>
      </c>
      <c r="P276" s="93">
        <v>44531.17802083334</v>
      </c>
      <c r="Q276" s="90" t="s">
        <v>596</v>
      </c>
      <c r="R276" s="96" t="str">
        <f>HYPERLINK("https://fi.wikipedia.org/wiki/Ivermektiini")</f>
        <v>https://fi.wikipedia.org/wiki/Ivermektiini</v>
      </c>
      <c r="S276" s="90" t="s">
        <v>700</v>
      </c>
      <c r="T276" s="90"/>
      <c r="U276" s="90"/>
      <c r="V276" s="96" t="str">
        <f>HYPERLINK("https://pbs.twimg.com/profile_images/378800000524029180/9159908f71fbde4047e7c061a4ee941d_normal.jpeg")</f>
        <v>https://pbs.twimg.com/profile_images/378800000524029180/9159908f71fbde4047e7c061a4ee941d_normal.jpeg</v>
      </c>
      <c r="W276" s="93">
        <v>44531.17802083334</v>
      </c>
      <c r="X276" s="100">
        <v>44531</v>
      </c>
      <c r="Y276" s="97" t="s">
        <v>812</v>
      </c>
      <c r="Z276" s="96" t="str">
        <f>HYPERLINK("https://twitter.com/penjussi/status/1465897533574717448")</f>
        <v>https://twitter.com/penjussi/status/1465897533574717448</v>
      </c>
      <c r="AA276" s="90"/>
      <c r="AB276" s="90"/>
      <c r="AC276" s="97" t="s">
        <v>1064</v>
      </c>
      <c r="AD276" s="97" t="s">
        <v>1270</v>
      </c>
      <c r="AE276" s="90" t="b">
        <v>0</v>
      </c>
      <c r="AF276" s="90">
        <v>0</v>
      </c>
      <c r="AG276" s="97" t="s">
        <v>1387</v>
      </c>
      <c r="AH276" s="90" t="b">
        <v>0</v>
      </c>
      <c r="AI276" s="90" t="s">
        <v>1443</v>
      </c>
      <c r="AJ276" s="90"/>
      <c r="AK276" s="97" t="s">
        <v>1338</v>
      </c>
      <c r="AL276" s="90" t="b">
        <v>0</v>
      </c>
      <c r="AM276" s="90">
        <v>0</v>
      </c>
      <c r="AN276" s="97" t="s">
        <v>1338</v>
      </c>
      <c r="AO276" s="97" t="s">
        <v>1450</v>
      </c>
      <c r="AP276" s="90" t="b">
        <v>0</v>
      </c>
      <c r="AQ276" s="97" t="s">
        <v>1270</v>
      </c>
      <c r="AR276" s="90" t="s">
        <v>187</v>
      </c>
      <c r="AS276" s="90">
        <v>0</v>
      </c>
      <c r="AT276" s="90">
        <v>0</v>
      </c>
      <c r="AU276" s="90"/>
      <c r="AV276" s="90"/>
      <c r="AW276" s="90"/>
      <c r="AX276" s="90"/>
      <c r="AY276" s="90"/>
      <c r="AZ276" s="90"/>
      <c r="BA276" s="90"/>
      <c r="BB276" s="90"/>
      <c r="BC276">
        <v>4</v>
      </c>
      <c r="BD276" s="89" t="str">
        <f>REPLACE(INDEX(GroupVertices[Group],MATCH(Edges[[#This Row],[Vertex 1]],GroupVertices[Vertex],0)),1,1,"")</f>
        <v>2</v>
      </c>
      <c r="BE276" s="89" t="str">
        <f>REPLACE(INDEX(GroupVertices[Group],MATCH(Edges[[#This Row],[Vertex 2]],GroupVertices[Vertex],0)),1,1,"")</f>
        <v>2</v>
      </c>
      <c r="BF276" s="49"/>
      <c r="BG276" s="50"/>
      <c r="BH276" s="49"/>
      <c r="BI276" s="50"/>
      <c r="BJ276" s="49"/>
      <c r="BK276" s="50"/>
      <c r="BL276" s="49"/>
      <c r="BM276" s="50"/>
      <c r="BN276" s="49"/>
    </row>
    <row r="277" spans="1:66" ht="15">
      <c r="A277" s="65" t="s">
        <v>292</v>
      </c>
      <c r="B277" s="65" t="s">
        <v>459</v>
      </c>
      <c r="C277" s="66" t="s">
        <v>5818</v>
      </c>
      <c r="D277" s="67">
        <v>1</v>
      </c>
      <c r="E277" s="68" t="s">
        <v>132</v>
      </c>
      <c r="F277" s="69">
        <v>32</v>
      </c>
      <c r="G277" s="66" t="s">
        <v>51</v>
      </c>
      <c r="H277" s="70"/>
      <c r="I277" s="71"/>
      <c r="J277" s="71"/>
      <c r="K277" s="35" t="s">
        <v>65</v>
      </c>
      <c r="L277" s="79">
        <v>277</v>
      </c>
      <c r="M277" s="79"/>
      <c r="N277" s="73"/>
      <c r="O277" s="90" t="s">
        <v>524</v>
      </c>
      <c r="P277" s="93">
        <v>44531.17802083334</v>
      </c>
      <c r="Q277" s="90" t="s">
        <v>596</v>
      </c>
      <c r="R277" s="96" t="str">
        <f>HYPERLINK("https://fi.wikipedia.org/wiki/Ivermektiini")</f>
        <v>https://fi.wikipedia.org/wiki/Ivermektiini</v>
      </c>
      <c r="S277" s="90" t="s">
        <v>700</v>
      </c>
      <c r="T277" s="90"/>
      <c r="U277" s="90"/>
      <c r="V277" s="96" t="str">
        <f>HYPERLINK("https://pbs.twimg.com/profile_images/378800000524029180/9159908f71fbde4047e7c061a4ee941d_normal.jpeg")</f>
        <v>https://pbs.twimg.com/profile_images/378800000524029180/9159908f71fbde4047e7c061a4ee941d_normal.jpeg</v>
      </c>
      <c r="W277" s="93">
        <v>44531.17802083334</v>
      </c>
      <c r="X277" s="100">
        <v>44531</v>
      </c>
      <c r="Y277" s="97" t="s">
        <v>812</v>
      </c>
      <c r="Z277" s="96" t="str">
        <f>HYPERLINK("https://twitter.com/penjussi/status/1465897533574717448")</f>
        <v>https://twitter.com/penjussi/status/1465897533574717448</v>
      </c>
      <c r="AA277" s="90"/>
      <c r="AB277" s="90"/>
      <c r="AC277" s="97" t="s">
        <v>1064</v>
      </c>
      <c r="AD277" s="97" t="s">
        <v>1270</v>
      </c>
      <c r="AE277" s="90" t="b">
        <v>0</v>
      </c>
      <c r="AF277" s="90">
        <v>0</v>
      </c>
      <c r="AG277" s="97" t="s">
        <v>1387</v>
      </c>
      <c r="AH277" s="90" t="b">
        <v>0</v>
      </c>
      <c r="AI277" s="90" t="s">
        <v>1443</v>
      </c>
      <c r="AJ277" s="90"/>
      <c r="AK277" s="97" t="s">
        <v>1338</v>
      </c>
      <c r="AL277" s="90" t="b">
        <v>0</v>
      </c>
      <c r="AM277" s="90">
        <v>0</v>
      </c>
      <c r="AN277" s="97" t="s">
        <v>1338</v>
      </c>
      <c r="AO277" s="97" t="s">
        <v>1450</v>
      </c>
      <c r="AP277" s="90" t="b">
        <v>0</v>
      </c>
      <c r="AQ277" s="97" t="s">
        <v>1270</v>
      </c>
      <c r="AR277" s="90" t="s">
        <v>187</v>
      </c>
      <c r="AS277" s="90">
        <v>0</v>
      </c>
      <c r="AT277" s="90">
        <v>0</v>
      </c>
      <c r="AU277" s="90"/>
      <c r="AV277" s="90"/>
      <c r="AW277" s="90"/>
      <c r="AX277" s="90"/>
      <c r="AY277" s="90"/>
      <c r="AZ277" s="90"/>
      <c r="BA277" s="90"/>
      <c r="BB277" s="90"/>
      <c r="BC277">
        <v>2</v>
      </c>
      <c r="BD277" s="89" t="str">
        <f>REPLACE(INDEX(GroupVertices[Group],MATCH(Edges[[#This Row],[Vertex 1]],GroupVertices[Vertex],0)),1,1,"")</f>
        <v>2</v>
      </c>
      <c r="BE277" s="89" t="str">
        <f>REPLACE(INDEX(GroupVertices[Group],MATCH(Edges[[#This Row],[Vertex 2]],GroupVertices[Vertex],0)),1,1,"")</f>
        <v>2</v>
      </c>
      <c r="BF277" s="49"/>
      <c r="BG277" s="50"/>
      <c r="BH277" s="49"/>
      <c r="BI277" s="50"/>
      <c r="BJ277" s="49"/>
      <c r="BK277" s="50"/>
      <c r="BL277" s="49"/>
      <c r="BM277" s="50"/>
      <c r="BN277" s="49"/>
    </row>
    <row r="278" spans="1:66" ht="15">
      <c r="A278" s="65" t="s">
        <v>292</v>
      </c>
      <c r="B278" s="65" t="s">
        <v>331</v>
      </c>
      <c r="C278" s="66" t="s">
        <v>5817</v>
      </c>
      <c r="D278" s="67">
        <v>1</v>
      </c>
      <c r="E278" s="68" t="s">
        <v>132</v>
      </c>
      <c r="F278" s="69">
        <v>32</v>
      </c>
      <c r="G278" s="66" t="s">
        <v>51</v>
      </c>
      <c r="H278" s="70"/>
      <c r="I278" s="71"/>
      <c r="J278" s="71"/>
      <c r="K278" s="35" t="s">
        <v>65</v>
      </c>
      <c r="L278" s="79">
        <v>278</v>
      </c>
      <c r="M278" s="79"/>
      <c r="N278" s="73"/>
      <c r="O278" s="90" t="s">
        <v>523</v>
      </c>
      <c r="P278" s="93">
        <v>44531.17802083334</v>
      </c>
      <c r="Q278" s="90" t="s">
        <v>596</v>
      </c>
      <c r="R278" s="96" t="str">
        <f>HYPERLINK("https://fi.wikipedia.org/wiki/Ivermektiini")</f>
        <v>https://fi.wikipedia.org/wiki/Ivermektiini</v>
      </c>
      <c r="S278" s="90" t="s">
        <v>700</v>
      </c>
      <c r="T278" s="90"/>
      <c r="U278" s="90"/>
      <c r="V278" s="96" t="str">
        <f>HYPERLINK("https://pbs.twimg.com/profile_images/378800000524029180/9159908f71fbde4047e7c061a4ee941d_normal.jpeg")</f>
        <v>https://pbs.twimg.com/profile_images/378800000524029180/9159908f71fbde4047e7c061a4ee941d_normal.jpeg</v>
      </c>
      <c r="W278" s="93">
        <v>44531.17802083334</v>
      </c>
      <c r="X278" s="100">
        <v>44531</v>
      </c>
      <c r="Y278" s="97" t="s">
        <v>812</v>
      </c>
      <c r="Z278" s="96" t="str">
        <f>HYPERLINK("https://twitter.com/penjussi/status/1465897533574717448")</f>
        <v>https://twitter.com/penjussi/status/1465897533574717448</v>
      </c>
      <c r="AA278" s="90"/>
      <c r="AB278" s="90"/>
      <c r="AC278" s="97" t="s">
        <v>1064</v>
      </c>
      <c r="AD278" s="97" t="s">
        <v>1270</v>
      </c>
      <c r="AE278" s="90" t="b">
        <v>0</v>
      </c>
      <c r="AF278" s="90">
        <v>0</v>
      </c>
      <c r="AG278" s="97" t="s">
        <v>1387</v>
      </c>
      <c r="AH278" s="90" t="b">
        <v>0</v>
      </c>
      <c r="AI278" s="90" t="s">
        <v>1443</v>
      </c>
      <c r="AJ278" s="90"/>
      <c r="AK278" s="97" t="s">
        <v>1338</v>
      </c>
      <c r="AL278" s="90" t="b">
        <v>0</v>
      </c>
      <c r="AM278" s="90">
        <v>0</v>
      </c>
      <c r="AN278" s="97" t="s">
        <v>1338</v>
      </c>
      <c r="AO278" s="97" t="s">
        <v>1450</v>
      </c>
      <c r="AP278" s="90" t="b">
        <v>0</v>
      </c>
      <c r="AQ278" s="97" t="s">
        <v>1270</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10</v>
      </c>
      <c r="BF278" s="49"/>
      <c r="BG278" s="50"/>
      <c r="BH278" s="49"/>
      <c r="BI278" s="50"/>
      <c r="BJ278" s="49"/>
      <c r="BK278" s="50"/>
      <c r="BL278" s="49"/>
      <c r="BM278" s="50"/>
      <c r="BN278" s="49"/>
    </row>
    <row r="279" spans="1:66" ht="15">
      <c r="A279" s="65" t="s">
        <v>292</v>
      </c>
      <c r="B279" s="65" t="s">
        <v>458</v>
      </c>
      <c r="C279" s="66" t="s">
        <v>5818</v>
      </c>
      <c r="D279" s="67">
        <v>1</v>
      </c>
      <c r="E279" s="68" t="s">
        <v>132</v>
      </c>
      <c r="F279" s="69">
        <v>32</v>
      </c>
      <c r="G279" s="66" t="s">
        <v>51</v>
      </c>
      <c r="H279" s="70"/>
      <c r="I279" s="71"/>
      <c r="J279" s="71"/>
      <c r="K279" s="35" t="s">
        <v>65</v>
      </c>
      <c r="L279" s="79">
        <v>279</v>
      </c>
      <c r="M279" s="79"/>
      <c r="N279" s="73"/>
      <c r="O279" s="90" t="s">
        <v>524</v>
      </c>
      <c r="P279" s="93">
        <v>44531.17821759259</v>
      </c>
      <c r="Q279" s="90" t="s">
        <v>597</v>
      </c>
      <c r="R279" s="96" t="str">
        <f>HYPERLINK("https://fi.wikipedia.org/wiki/Ivermektiini")</f>
        <v>https://fi.wikipedia.org/wiki/Ivermektiini</v>
      </c>
      <c r="S279" s="90" t="s">
        <v>700</v>
      </c>
      <c r="T279" s="90"/>
      <c r="U279" s="90"/>
      <c r="V279" s="96" t="str">
        <f>HYPERLINK("https://pbs.twimg.com/profile_images/378800000524029180/9159908f71fbde4047e7c061a4ee941d_normal.jpeg")</f>
        <v>https://pbs.twimg.com/profile_images/378800000524029180/9159908f71fbde4047e7c061a4ee941d_normal.jpeg</v>
      </c>
      <c r="W279" s="93">
        <v>44531.17821759259</v>
      </c>
      <c r="X279" s="100">
        <v>44531</v>
      </c>
      <c r="Y279" s="97" t="s">
        <v>813</v>
      </c>
      <c r="Z279" s="96" t="str">
        <f>HYPERLINK("https://twitter.com/penjussi/status/1465897602554150914")</f>
        <v>https://twitter.com/penjussi/status/1465897602554150914</v>
      </c>
      <c r="AA279" s="90"/>
      <c r="AB279" s="90"/>
      <c r="AC279" s="97" t="s">
        <v>1065</v>
      </c>
      <c r="AD279" s="97" t="s">
        <v>1271</v>
      </c>
      <c r="AE279" s="90" t="b">
        <v>0</v>
      </c>
      <c r="AF279" s="90">
        <v>0</v>
      </c>
      <c r="AG279" s="97" t="s">
        <v>1388</v>
      </c>
      <c r="AH279" s="90" t="b">
        <v>0</v>
      </c>
      <c r="AI279" s="90" t="s">
        <v>1443</v>
      </c>
      <c r="AJ279" s="90"/>
      <c r="AK279" s="97" t="s">
        <v>1338</v>
      </c>
      <c r="AL279" s="90" t="b">
        <v>0</v>
      </c>
      <c r="AM279" s="90">
        <v>0</v>
      </c>
      <c r="AN279" s="97" t="s">
        <v>1338</v>
      </c>
      <c r="AO279" s="97" t="s">
        <v>1450</v>
      </c>
      <c r="AP279" s="90" t="b">
        <v>0</v>
      </c>
      <c r="AQ279" s="97" t="s">
        <v>1271</v>
      </c>
      <c r="AR279" s="90" t="s">
        <v>187</v>
      </c>
      <c r="AS279" s="90">
        <v>0</v>
      </c>
      <c r="AT279" s="90">
        <v>0</v>
      </c>
      <c r="AU279" s="90"/>
      <c r="AV279" s="90"/>
      <c r="AW279" s="90"/>
      <c r="AX279" s="90"/>
      <c r="AY279" s="90"/>
      <c r="AZ279" s="90"/>
      <c r="BA279" s="90"/>
      <c r="BB279" s="90"/>
      <c r="BC279">
        <v>4</v>
      </c>
      <c r="BD279" s="89" t="str">
        <f>REPLACE(INDEX(GroupVertices[Group],MATCH(Edges[[#This Row],[Vertex 1]],GroupVertices[Vertex],0)),1,1,"")</f>
        <v>2</v>
      </c>
      <c r="BE279" s="89" t="str">
        <f>REPLACE(INDEX(GroupVertices[Group],MATCH(Edges[[#This Row],[Vertex 2]],GroupVertices[Vertex],0)),1,1,"")</f>
        <v>2</v>
      </c>
      <c r="BF279" s="49"/>
      <c r="BG279" s="50"/>
      <c r="BH279" s="49"/>
      <c r="BI279" s="50"/>
      <c r="BJ279" s="49"/>
      <c r="BK279" s="50"/>
      <c r="BL279" s="49"/>
      <c r="BM279" s="50"/>
      <c r="BN279" s="49"/>
    </row>
    <row r="280" spans="1:66" ht="15">
      <c r="A280" s="65" t="s">
        <v>292</v>
      </c>
      <c r="B280" s="65" t="s">
        <v>459</v>
      </c>
      <c r="C280" s="66" t="s">
        <v>5818</v>
      </c>
      <c r="D280" s="67">
        <v>1</v>
      </c>
      <c r="E280" s="68" t="s">
        <v>132</v>
      </c>
      <c r="F280" s="69">
        <v>32</v>
      </c>
      <c r="G280" s="66" t="s">
        <v>51</v>
      </c>
      <c r="H280" s="70"/>
      <c r="I280" s="71"/>
      <c r="J280" s="71"/>
      <c r="K280" s="35" t="s">
        <v>65</v>
      </c>
      <c r="L280" s="79">
        <v>280</v>
      </c>
      <c r="M280" s="79"/>
      <c r="N280" s="73"/>
      <c r="O280" s="90" t="s">
        <v>524</v>
      </c>
      <c r="P280" s="93">
        <v>44531.17821759259</v>
      </c>
      <c r="Q280" s="90" t="s">
        <v>597</v>
      </c>
      <c r="R280" s="96" t="str">
        <f>HYPERLINK("https://fi.wikipedia.org/wiki/Ivermektiini")</f>
        <v>https://fi.wikipedia.org/wiki/Ivermektiini</v>
      </c>
      <c r="S280" s="90" t="s">
        <v>700</v>
      </c>
      <c r="T280" s="90"/>
      <c r="U280" s="90"/>
      <c r="V280" s="96" t="str">
        <f>HYPERLINK("https://pbs.twimg.com/profile_images/378800000524029180/9159908f71fbde4047e7c061a4ee941d_normal.jpeg")</f>
        <v>https://pbs.twimg.com/profile_images/378800000524029180/9159908f71fbde4047e7c061a4ee941d_normal.jpeg</v>
      </c>
      <c r="W280" s="93">
        <v>44531.17821759259</v>
      </c>
      <c r="X280" s="100">
        <v>44531</v>
      </c>
      <c r="Y280" s="97" t="s">
        <v>813</v>
      </c>
      <c r="Z280" s="96" t="str">
        <f>HYPERLINK("https://twitter.com/penjussi/status/1465897602554150914")</f>
        <v>https://twitter.com/penjussi/status/1465897602554150914</v>
      </c>
      <c r="AA280" s="90"/>
      <c r="AB280" s="90"/>
      <c r="AC280" s="97" t="s">
        <v>1065</v>
      </c>
      <c r="AD280" s="97" t="s">
        <v>1271</v>
      </c>
      <c r="AE280" s="90" t="b">
        <v>0</v>
      </c>
      <c r="AF280" s="90">
        <v>0</v>
      </c>
      <c r="AG280" s="97" t="s">
        <v>1388</v>
      </c>
      <c r="AH280" s="90" t="b">
        <v>0</v>
      </c>
      <c r="AI280" s="90" t="s">
        <v>1443</v>
      </c>
      <c r="AJ280" s="90"/>
      <c r="AK280" s="97" t="s">
        <v>1338</v>
      </c>
      <c r="AL280" s="90" t="b">
        <v>0</v>
      </c>
      <c r="AM280" s="90">
        <v>0</v>
      </c>
      <c r="AN280" s="97" t="s">
        <v>1338</v>
      </c>
      <c r="AO280" s="97" t="s">
        <v>1450</v>
      </c>
      <c r="AP280" s="90" t="b">
        <v>0</v>
      </c>
      <c r="AQ280" s="97" t="s">
        <v>1271</v>
      </c>
      <c r="AR280" s="90" t="s">
        <v>187</v>
      </c>
      <c r="AS280" s="90">
        <v>0</v>
      </c>
      <c r="AT280" s="90">
        <v>0</v>
      </c>
      <c r="AU280" s="90"/>
      <c r="AV280" s="90"/>
      <c r="AW280" s="90"/>
      <c r="AX280" s="90"/>
      <c r="AY280" s="90"/>
      <c r="AZ280" s="90"/>
      <c r="BA280" s="90"/>
      <c r="BB280" s="90"/>
      <c r="BC280">
        <v>2</v>
      </c>
      <c r="BD280" s="89" t="str">
        <f>REPLACE(INDEX(GroupVertices[Group],MATCH(Edges[[#This Row],[Vertex 1]],GroupVertices[Vertex],0)),1,1,"")</f>
        <v>2</v>
      </c>
      <c r="BE280" s="89" t="str">
        <f>REPLACE(INDEX(GroupVertices[Group],MATCH(Edges[[#This Row],[Vertex 2]],GroupVertices[Vertex],0)),1,1,"")</f>
        <v>2</v>
      </c>
      <c r="BF280" s="49"/>
      <c r="BG280" s="50"/>
      <c r="BH280" s="49"/>
      <c r="BI280" s="50"/>
      <c r="BJ280" s="49"/>
      <c r="BK280" s="50"/>
      <c r="BL280" s="49"/>
      <c r="BM280" s="50"/>
      <c r="BN280" s="49"/>
    </row>
    <row r="281" spans="1:66" ht="15">
      <c r="A281" s="65" t="s">
        <v>292</v>
      </c>
      <c r="B281" s="65" t="s">
        <v>458</v>
      </c>
      <c r="C281" s="66" t="s">
        <v>5818</v>
      </c>
      <c r="D281" s="67">
        <v>1</v>
      </c>
      <c r="E281" s="68" t="s">
        <v>132</v>
      </c>
      <c r="F281" s="69">
        <v>32</v>
      </c>
      <c r="G281" s="66" t="s">
        <v>51</v>
      </c>
      <c r="H281" s="70"/>
      <c r="I281" s="71"/>
      <c r="J281" s="71"/>
      <c r="K281" s="35" t="s">
        <v>65</v>
      </c>
      <c r="L281" s="79">
        <v>281</v>
      </c>
      <c r="M281" s="79"/>
      <c r="N281" s="73"/>
      <c r="O281" s="90" t="s">
        <v>524</v>
      </c>
      <c r="P281" s="93">
        <v>44531.187048611115</v>
      </c>
      <c r="Q281" s="90" t="s">
        <v>615</v>
      </c>
      <c r="R281" s="90"/>
      <c r="S281" s="90"/>
      <c r="T281" s="90"/>
      <c r="U281" s="90"/>
      <c r="V281" s="96" t="str">
        <f>HYPERLINK("https://pbs.twimg.com/profile_images/378800000524029180/9159908f71fbde4047e7c061a4ee941d_normal.jpeg")</f>
        <v>https://pbs.twimg.com/profile_images/378800000524029180/9159908f71fbde4047e7c061a4ee941d_normal.jpeg</v>
      </c>
      <c r="W281" s="93">
        <v>44531.187048611115</v>
      </c>
      <c r="X281" s="100">
        <v>44531</v>
      </c>
      <c r="Y281" s="97" t="s">
        <v>840</v>
      </c>
      <c r="Z281" s="96" t="str">
        <f>HYPERLINK("https://twitter.com/penjussi/status/1465900802619412487")</f>
        <v>https://twitter.com/penjussi/status/1465900802619412487</v>
      </c>
      <c r="AA281" s="90"/>
      <c r="AB281" s="90"/>
      <c r="AC281" s="97" t="s">
        <v>1092</v>
      </c>
      <c r="AD281" s="97" t="s">
        <v>1091</v>
      </c>
      <c r="AE281" s="90" t="b">
        <v>0</v>
      </c>
      <c r="AF281" s="90">
        <v>2</v>
      </c>
      <c r="AG281" s="97" t="s">
        <v>1393</v>
      </c>
      <c r="AH281" s="90" t="b">
        <v>0</v>
      </c>
      <c r="AI281" s="90" t="s">
        <v>1442</v>
      </c>
      <c r="AJ281" s="90"/>
      <c r="AK281" s="97" t="s">
        <v>1338</v>
      </c>
      <c r="AL281" s="90" t="b">
        <v>0</v>
      </c>
      <c r="AM281" s="90">
        <v>0</v>
      </c>
      <c r="AN281" s="97" t="s">
        <v>1338</v>
      </c>
      <c r="AO281" s="97" t="s">
        <v>1450</v>
      </c>
      <c r="AP281" s="90" t="b">
        <v>0</v>
      </c>
      <c r="AQ281" s="97" t="s">
        <v>1091</v>
      </c>
      <c r="AR281" s="90" t="s">
        <v>187</v>
      </c>
      <c r="AS281" s="90">
        <v>0</v>
      </c>
      <c r="AT281" s="90">
        <v>0</v>
      </c>
      <c r="AU281" s="90"/>
      <c r="AV281" s="90"/>
      <c r="AW281" s="90"/>
      <c r="AX281" s="90"/>
      <c r="AY281" s="90"/>
      <c r="AZ281" s="90"/>
      <c r="BA281" s="90"/>
      <c r="BB281" s="90"/>
      <c r="BC281">
        <v>4</v>
      </c>
      <c r="BD281" s="89" t="str">
        <f>REPLACE(INDEX(GroupVertices[Group],MATCH(Edges[[#This Row],[Vertex 1]],GroupVertices[Vertex],0)),1,1,"")</f>
        <v>2</v>
      </c>
      <c r="BE281" s="89" t="str">
        <f>REPLACE(INDEX(GroupVertices[Group],MATCH(Edges[[#This Row],[Vertex 2]],GroupVertices[Vertex],0)),1,1,"")</f>
        <v>2</v>
      </c>
      <c r="BF281" s="49"/>
      <c r="BG281" s="50"/>
      <c r="BH281" s="49"/>
      <c r="BI281" s="50"/>
      <c r="BJ281" s="49"/>
      <c r="BK281" s="50"/>
      <c r="BL281" s="49"/>
      <c r="BM281" s="50"/>
      <c r="BN281" s="49"/>
    </row>
    <row r="282" spans="1:66" ht="15">
      <c r="A282" s="65" t="s">
        <v>292</v>
      </c>
      <c r="B282" s="65" t="s">
        <v>459</v>
      </c>
      <c r="C282" s="66" t="s">
        <v>5818</v>
      </c>
      <c r="D282" s="67">
        <v>1</v>
      </c>
      <c r="E282" s="68" t="s">
        <v>132</v>
      </c>
      <c r="F282" s="69">
        <v>32</v>
      </c>
      <c r="G282" s="66" t="s">
        <v>51</v>
      </c>
      <c r="H282" s="70"/>
      <c r="I282" s="71"/>
      <c r="J282" s="71"/>
      <c r="K282" s="35" t="s">
        <v>65</v>
      </c>
      <c r="L282" s="79">
        <v>282</v>
      </c>
      <c r="M282" s="79"/>
      <c r="N282" s="73"/>
      <c r="O282" s="90" t="s">
        <v>523</v>
      </c>
      <c r="P282" s="93">
        <v>44531.187048611115</v>
      </c>
      <c r="Q282" s="90" t="s">
        <v>615</v>
      </c>
      <c r="R282" s="90"/>
      <c r="S282" s="90"/>
      <c r="T282" s="90"/>
      <c r="U282" s="90"/>
      <c r="V282" s="96" t="str">
        <f>HYPERLINK("https://pbs.twimg.com/profile_images/378800000524029180/9159908f71fbde4047e7c061a4ee941d_normal.jpeg")</f>
        <v>https://pbs.twimg.com/profile_images/378800000524029180/9159908f71fbde4047e7c061a4ee941d_normal.jpeg</v>
      </c>
      <c r="W282" s="93">
        <v>44531.187048611115</v>
      </c>
      <c r="X282" s="100">
        <v>44531</v>
      </c>
      <c r="Y282" s="97" t="s">
        <v>840</v>
      </c>
      <c r="Z282" s="96" t="str">
        <f>HYPERLINK("https://twitter.com/penjussi/status/1465900802619412487")</f>
        <v>https://twitter.com/penjussi/status/1465900802619412487</v>
      </c>
      <c r="AA282" s="90"/>
      <c r="AB282" s="90"/>
      <c r="AC282" s="97" t="s">
        <v>1092</v>
      </c>
      <c r="AD282" s="97" t="s">
        <v>1091</v>
      </c>
      <c r="AE282" s="90" t="b">
        <v>0</v>
      </c>
      <c r="AF282" s="90">
        <v>2</v>
      </c>
      <c r="AG282" s="97" t="s">
        <v>1393</v>
      </c>
      <c r="AH282" s="90" t="b">
        <v>0</v>
      </c>
      <c r="AI282" s="90" t="s">
        <v>1442</v>
      </c>
      <c r="AJ282" s="90"/>
      <c r="AK282" s="97" t="s">
        <v>1338</v>
      </c>
      <c r="AL282" s="90" t="b">
        <v>0</v>
      </c>
      <c r="AM282" s="90">
        <v>0</v>
      </c>
      <c r="AN282" s="97" t="s">
        <v>1338</v>
      </c>
      <c r="AO282" s="97" t="s">
        <v>1450</v>
      </c>
      <c r="AP282" s="90" t="b">
        <v>0</v>
      </c>
      <c r="AQ282" s="97" t="s">
        <v>1091</v>
      </c>
      <c r="AR282" s="90" t="s">
        <v>187</v>
      </c>
      <c r="AS282" s="90">
        <v>0</v>
      </c>
      <c r="AT282" s="90">
        <v>0</v>
      </c>
      <c r="AU282" s="90"/>
      <c r="AV282" s="90"/>
      <c r="AW282" s="90"/>
      <c r="AX282" s="90"/>
      <c r="AY282" s="90"/>
      <c r="AZ282" s="90"/>
      <c r="BA282" s="90"/>
      <c r="BB282" s="90"/>
      <c r="BC282">
        <v>2</v>
      </c>
      <c r="BD282" s="89" t="str">
        <f>REPLACE(INDEX(GroupVertices[Group],MATCH(Edges[[#This Row],[Vertex 1]],GroupVertices[Vertex],0)),1,1,"")</f>
        <v>2</v>
      </c>
      <c r="BE282" s="89" t="str">
        <f>REPLACE(INDEX(GroupVertices[Group],MATCH(Edges[[#This Row],[Vertex 2]],GroupVertices[Vertex],0)),1,1,"")</f>
        <v>2</v>
      </c>
      <c r="BF282" s="49">
        <v>0</v>
      </c>
      <c r="BG282" s="50">
        <v>0</v>
      </c>
      <c r="BH282" s="49">
        <v>0</v>
      </c>
      <c r="BI282" s="50">
        <v>0</v>
      </c>
      <c r="BJ282" s="49">
        <v>0</v>
      </c>
      <c r="BK282" s="50">
        <v>0</v>
      </c>
      <c r="BL282" s="49">
        <v>30</v>
      </c>
      <c r="BM282" s="50">
        <v>100</v>
      </c>
      <c r="BN282" s="49">
        <v>30</v>
      </c>
    </row>
    <row r="283" spans="1:66" ht="15">
      <c r="A283" s="65" t="s">
        <v>305</v>
      </c>
      <c r="B283" s="65" t="s">
        <v>292</v>
      </c>
      <c r="C283" s="66" t="s">
        <v>5817</v>
      </c>
      <c r="D283" s="67">
        <v>1</v>
      </c>
      <c r="E283" s="68" t="s">
        <v>132</v>
      </c>
      <c r="F283" s="69">
        <v>32</v>
      </c>
      <c r="G283" s="66" t="s">
        <v>51</v>
      </c>
      <c r="H283" s="70"/>
      <c r="I283" s="71"/>
      <c r="J283" s="71"/>
      <c r="K283" s="35" t="s">
        <v>65</v>
      </c>
      <c r="L283" s="79">
        <v>283</v>
      </c>
      <c r="M283" s="79"/>
      <c r="N283" s="73"/>
      <c r="O283" s="90" t="s">
        <v>524</v>
      </c>
      <c r="P283" s="93">
        <v>44531.33193287037</v>
      </c>
      <c r="Q283" s="90" t="s">
        <v>613</v>
      </c>
      <c r="R283" s="90"/>
      <c r="S283" s="90"/>
      <c r="T283" s="90"/>
      <c r="U283" s="90"/>
      <c r="V283" s="96" t="str">
        <f>HYPERLINK("https://pbs.twimg.com/profile_images/1347875325993230336/emyxHmuv_normal.jpg")</f>
        <v>https://pbs.twimg.com/profile_images/1347875325993230336/emyxHmuv_normal.jpg</v>
      </c>
      <c r="W283" s="93">
        <v>44531.33193287037</v>
      </c>
      <c r="X283" s="100">
        <v>44531</v>
      </c>
      <c r="Y283" s="97" t="s">
        <v>838</v>
      </c>
      <c r="Z283" s="96" t="str">
        <f>HYPERLINK("https://twitter.com/hezerminator/status/1465953308603031554")</f>
        <v>https://twitter.com/hezerminator/status/1465953308603031554</v>
      </c>
      <c r="AA283" s="90"/>
      <c r="AB283" s="90"/>
      <c r="AC283" s="97" t="s">
        <v>1090</v>
      </c>
      <c r="AD283" s="97" t="s">
        <v>1281</v>
      </c>
      <c r="AE283" s="90" t="b">
        <v>0</v>
      </c>
      <c r="AF283" s="90">
        <v>1</v>
      </c>
      <c r="AG283" s="97" t="s">
        <v>1397</v>
      </c>
      <c r="AH283" s="90" t="b">
        <v>0</v>
      </c>
      <c r="AI283" s="90" t="s">
        <v>1442</v>
      </c>
      <c r="AJ283" s="90"/>
      <c r="AK283" s="97" t="s">
        <v>1338</v>
      </c>
      <c r="AL283" s="90" t="b">
        <v>0</v>
      </c>
      <c r="AM283" s="90">
        <v>0</v>
      </c>
      <c r="AN283" s="97" t="s">
        <v>1338</v>
      </c>
      <c r="AO283" s="97" t="s">
        <v>1452</v>
      </c>
      <c r="AP283" s="90" t="b">
        <v>0</v>
      </c>
      <c r="AQ283" s="97" t="s">
        <v>1281</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2</v>
      </c>
      <c r="BE283" s="89" t="str">
        <f>REPLACE(INDEX(GroupVertices[Group],MATCH(Edges[[#This Row],[Vertex 2]],GroupVertices[Vertex],0)),1,1,"")</f>
        <v>2</v>
      </c>
      <c r="BF283" s="49"/>
      <c r="BG283" s="50"/>
      <c r="BH283" s="49"/>
      <c r="BI283" s="50"/>
      <c r="BJ283" s="49"/>
      <c r="BK283" s="50"/>
      <c r="BL283" s="49"/>
      <c r="BM283" s="50"/>
      <c r="BN283" s="49"/>
    </row>
    <row r="284" spans="1:66" ht="15">
      <c r="A284" s="65" t="s">
        <v>305</v>
      </c>
      <c r="B284" s="65" t="s">
        <v>468</v>
      </c>
      <c r="C284" s="66" t="s">
        <v>5817</v>
      </c>
      <c r="D284" s="67">
        <v>1</v>
      </c>
      <c r="E284" s="68" t="s">
        <v>132</v>
      </c>
      <c r="F284" s="69">
        <v>32</v>
      </c>
      <c r="G284" s="66" t="s">
        <v>51</v>
      </c>
      <c r="H284" s="70"/>
      <c r="I284" s="71"/>
      <c r="J284" s="71"/>
      <c r="K284" s="35" t="s">
        <v>65</v>
      </c>
      <c r="L284" s="79">
        <v>284</v>
      </c>
      <c r="M284" s="79"/>
      <c r="N284" s="73"/>
      <c r="O284" s="90" t="s">
        <v>523</v>
      </c>
      <c r="P284" s="93">
        <v>44531.33193287037</v>
      </c>
      <c r="Q284" s="90" t="s">
        <v>613</v>
      </c>
      <c r="R284" s="90"/>
      <c r="S284" s="90"/>
      <c r="T284" s="90"/>
      <c r="U284" s="90"/>
      <c r="V284" s="96" t="str">
        <f>HYPERLINK("https://pbs.twimg.com/profile_images/1347875325993230336/emyxHmuv_normal.jpg")</f>
        <v>https://pbs.twimg.com/profile_images/1347875325993230336/emyxHmuv_normal.jpg</v>
      </c>
      <c r="W284" s="93">
        <v>44531.33193287037</v>
      </c>
      <c r="X284" s="100">
        <v>44531</v>
      </c>
      <c r="Y284" s="97" t="s">
        <v>838</v>
      </c>
      <c r="Z284" s="96" t="str">
        <f>HYPERLINK("https://twitter.com/hezerminator/status/1465953308603031554")</f>
        <v>https://twitter.com/hezerminator/status/1465953308603031554</v>
      </c>
      <c r="AA284" s="90"/>
      <c r="AB284" s="90"/>
      <c r="AC284" s="97" t="s">
        <v>1090</v>
      </c>
      <c r="AD284" s="97" t="s">
        <v>1281</v>
      </c>
      <c r="AE284" s="90" t="b">
        <v>0</v>
      </c>
      <c r="AF284" s="90">
        <v>1</v>
      </c>
      <c r="AG284" s="97" t="s">
        <v>1397</v>
      </c>
      <c r="AH284" s="90" t="b">
        <v>0</v>
      </c>
      <c r="AI284" s="90" t="s">
        <v>1442</v>
      </c>
      <c r="AJ284" s="90"/>
      <c r="AK284" s="97" t="s">
        <v>1338</v>
      </c>
      <c r="AL284" s="90" t="b">
        <v>0</v>
      </c>
      <c r="AM284" s="90">
        <v>0</v>
      </c>
      <c r="AN284" s="97" t="s">
        <v>1338</v>
      </c>
      <c r="AO284" s="97" t="s">
        <v>1452</v>
      </c>
      <c r="AP284" s="90" t="b">
        <v>0</v>
      </c>
      <c r="AQ284" s="97" t="s">
        <v>1281</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2</v>
      </c>
      <c r="BE284" s="89" t="str">
        <f>REPLACE(INDEX(GroupVertices[Group],MATCH(Edges[[#This Row],[Vertex 2]],GroupVertices[Vertex],0)),1,1,"")</f>
        <v>2</v>
      </c>
      <c r="BF284" s="49">
        <v>0</v>
      </c>
      <c r="BG284" s="50">
        <v>0</v>
      </c>
      <c r="BH284" s="49">
        <v>0</v>
      </c>
      <c r="BI284" s="50">
        <v>0</v>
      </c>
      <c r="BJ284" s="49">
        <v>0</v>
      </c>
      <c r="BK284" s="50">
        <v>0</v>
      </c>
      <c r="BL284" s="49">
        <v>29</v>
      </c>
      <c r="BM284" s="50">
        <v>100</v>
      </c>
      <c r="BN284" s="49">
        <v>29</v>
      </c>
    </row>
    <row r="285" spans="1:66" ht="15">
      <c r="A285" s="65" t="s">
        <v>305</v>
      </c>
      <c r="B285" s="65" t="s">
        <v>458</v>
      </c>
      <c r="C285" s="66" t="s">
        <v>5817</v>
      </c>
      <c r="D285" s="67">
        <v>1</v>
      </c>
      <c r="E285" s="68" t="s">
        <v>132</v>
      </c>
      <c r="F285" s="69">
        <v>32</v>
      </c>
      <c r="G285" s="66" t="s">
        <v>51</v>
      </c>
      <c r="H285" s="70"/>
      <c r="I285" s="71"/>
      <c r="J285" s="71"/>
      <c r="K285" s="35" t="s">
        <v>65</v>
      </c>
      <c r="L285" s="79">
        <v>285</v>
      </c>
      <c r="M285" s="79"/>
      <c r="N285" s="73"/>
      <c r="O285" s="90" t="s">
        <v>524</v>
      </c>
      <c r="P285" s="93">
        <v>44531.33193287037</v>
      </c>
      <c r="Q285" s="90" t="s">
        <v>613</v>
      </c>
      <c r="R285" s="90"/>
      <c r="S285" s="90"/>
      <c r="T285" s="90"/>
      <c r="U285" s="90"/>
      <c r="V285" s="96" t="str">
        <f>HYPERLINK("https://pbs.twimg.com/profile_images/1347875325993230336/emyxHmuv_normal.jpg")</f>
        <v>https://pbs.twimg.com/profile_images/1347875325993230336/emyxHmuv_normal.jpg</v>
      </c>
      <c r="W285" s="93">
        <v>44531.33193287037</v>
      </c>
      <c r="X285" s="100">
        <v>44531</v>
      </c>
      <c r="Y285" s="97" t="s">
        <v>838</v>
      </c>
      <c r="Z285" s="96" t="str">
        <f>HYPERLINK("https://twitter.com/hezerminator/status/1465953308603031554")</f>
        <v>https://twitter.com/hezerminator/status/1465953308603031554</v>
      </c>
      <c r="AA285" s="90"/>
      <c r="AB285" s="90"/>
      <c r="AC285" s="97" t="s">
        <v>1090</v>
      </c>
      <c r="AD285" s="97" t="s">
        <v>1281</v>
      </c>
      <c r="AE285" s="90" t="b">
        <v>0</v>
      </c>
      <c r="AF285" s="90">
        <v>1</v>
      </c>
      <c r="AG285" s="97" t="s">
        <v>1397</v>
      </c>
      <c r="AH285" s="90" t="b">
        <v>0</v>
      </c>
      <c r="AI285" s="90" t="s">
        <v>1442</v>
      </c>
      <c r="AJ285" s="90"/>
      <c r="AK285" s="97" t="s">
        <v>1338</v>
      </c>
      <c r="AL285" s="90" t="b">
        <v>0</v>
      </c>
      <c r="AM285" s="90">
        <v>0</v>
      </c>
      <c r="AN285" s="97" t="s">
        <v>1338</v>
      </c>
      <c r="AO285" s="97" t="s">
        <v>1452</v>
      </c>
      <c r="AP285" s="90" t="b">
        <v>0</v>
      </c>
      <c r="AQ285" s="97" t="s">
        <v>1281</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2</v>
      </c>
      <c r="BE285" s="89" t="str">
        <f>REPLACE(INDEX(GroupVertices[Group],MATCH(Edges[[#This Row],[Vertex 2]],GroupVertices[Vertex],0)),1,1,"")</f>
        <v>2</v>
      </c>
      <c r="BF285" s="49"/>
      <c r="BG285" s="50"/>
      <c r="BH285" s="49"/>
      <c r="BI285" s="50"/>
      <c r="BJ285" s="49"/>
      <c r="BK285" s="50"/>
      <c r="BL285" s="49"/>
      <c r="BM285" s="50"/>
      <c r="BN285" s="49"/>
    </row>
    <row r="286" spans="1:66" ht="15">
      <c r="A286" s="65" t="s">
        <v>305</v>
      </c>
      <c r="B286" s="65" t="s">
        <v>459</v>
      </c>
      <c r="C286" s="66" t="s">
        <v>5817</v>
      </c>
      <c r="D286" s="67">
        <v>1</v>
      </c>
      <c r="E286" s="68" t="s">
        <v>132</v>
      </c>
      <c r="F286" s="69">
        <v>32</v>
      </c>
      <c r="G286" s="66" t="s">
        <v>51</v>
      </c>
      <c r="H286" s="70"/>
      <c r="I286" s="71"/>
      <c r="J286" s="71"/>
      <c r="K286" s="35" t="s">
        <v>65</v>
      </c>
      <c r="L286" s="79">
        <v>286</v>
      </c>
      <c r="M286" s="79"/>
      <c r="N286" s="73"/>
      <c r="O286" s="90" t="s">
        <v>524</v>
      </c>
      <c r="P286" s="93">
        <v>44531.33193287037</v>
      </c>
      <c r="Q286" s="90" t="s">
        <v>613</v>
      </c>
      <c r="R286" s="90"/>
      <c r="S286" s="90"/>
      <c r="T286" s="90"/>
      <c r="U286" s="90"/>
      <c r="V286" s="96" t="str">
        <f>HYPERLINK("https://pbs.twimg.com/profile_images/1347875325993230336/emyxHmuv_normal.jpg")</f>
        <v>https://pbs.twimg.com/profile_images/1347875325993230336/emyxHmuv_normal.jpg</v>
      </c>
      <c r="W286" s="93">
        <v>44531.33193287037</v>
      </c>
      <c r="X286" s="100">
        <v>44531</v>
      </c>
      <c r="Y286" s="97" t="s">
        <v>838</v>
      </c>
      <c r="Z286" s="96" t="str">
        <f>HYPERLINK("https://twitter.com/hezerminator/status/1465953308603031554")</f>
        <v>https://twitter.com/hezerminator/status/1465953308603031554</v>
      </c>
      <c r="AA286" s="90"/>
      <c r="AB286" s="90"/>
      <c r="AC286" s="97" t="s">
        <v>1090</v>
      </c>
      <c r="AD286" s="97" t="s">
        <v>1281</v>
      </c>
      <c r="AE286" s="90" t="b">
        <v>0</v>
      </c>
      <c r="AF286" s="90">
        <v>1</v>
      </c>
      <c r="AG286" s="97" t="s">
        <v>1397</v>
      </c>
      <c r="AH286" s="90" t="b">
        <v>0</v>
      </c>
      <c r="AI286" s="90" t="s">
        <v>1442</v>
      </c>
      <c r="AJ286" s="90"/>
      <c r="AK286" s="97" t="s">
        <v>1338</v>
      </c>
      <c r="AL286" s="90" t="b">
        <v>0</v>
      </c>
      <c r="AM286" s="90">
        <v>0</v>
      </c>
      <c r="AN286" s="97" t="s">
        <v>1338</v>
      </c>
      <c r="AO286" s="97" t="s">
        <v>1452</v>
      </c>
      <c r="AP286" s="90" t="b">
        <v>0</v>
      </c>
      <c r="AQ286" s="97" t="s">
        <v>1281</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2</v>
      </c>
      <c r="BE286" s="89" t="str">
        <f>REPLACE(INDEX(GroupVertices[Group],MATCH(Edges[[#This Row],[Vertex 2]],GroupVertices[Vertex],0)),1,1,"")</f>
        <v>2</v>
      </c>
      <c r="BF286" s="49"/>
      <c r="BG286" s="50"/>
      <c r="BH286" s="49"/>
      <c r="BI286" s="50"/>
      <c r="BJ286" s="49"/>
      <c r="BK286" s="50"/>
      <c r="BL286" s="49"/>
      <c r="BM286" s="50"/>
      <c r="BN286" s="49"/>
    </row>
    <row r="287" spans="1:66" ht="15">
      <c r="A287" s="65" t="s">
        <v>305</v>
      </c>
      <c r="B287" s="65" t="s">
        <v>331</v>
      </c>
      <c r="C287" s="66" t="s">
        <v>5817</v>
      </c>
      <c r="D287" s="67">
        <v>1</v>
      </c>
      <c r="E287" s="68" t="s">
        <v>132</v>
      </c>
      <c r="F287" s="69">
        <v>32</v>
      </c>
      <c r="G287" s="66" t="s">
        <v>51</v>
      </c>
      <c r="H287" s="70"/>
      <c r="I287" s="71"/>
      <c r="J287" s="71"/>
      <c r="K287" s="35" t="s">
        <v>65</v>
      </c>
      <c r="L287" s="79">
        <v>287</v>
      </c>
      <c r="M287" s="79"/>
      <c r="N287" s="73"/>
      <c r="O287" s="90" t="s">
        <v>524</v>
      </c>
      <c r="P287" s="93">
        <v>44531.33193287037</v>
      </c>
      <c r="Q287" s="90" t="s">
        <v>613</v>
      </c>
      <c r="R287" s="90"/>
      <c r="S287" s="90"/>
      <c r="T287" s="90"/>
      <c r="U287" s="90"/>
      <c r="V287" s="96" t="str">
        <f>HYPERLINK("https://pbs.twimg.com/profile_images/1347875325993230336/emyxHmuv_normal.jpg")</f>
        <v>https://pbs.twimg.com/profile_images/1347875325993230336/emyxHmuv_normal.jpg</v>
      </c>
      <c r="W287" s="93">
        <v>44531.33193287037</v>
      </c>
      <c r="X287" s="100">
        <v>44531</v>
      </c>
      <c r="Y287" s="97" t="s">
        <v>838</v>
      </c>
      <c r="Z287" s="96" t="str">
        <f>HYPERLINK("https://twitter.com/hezerminator/status/1465953308603031554")</f>
        <v>https://twitter.com/hezerminator/status/1465953308603031554</v>
      </c>
      <c r="AA287" s="90"/>
      <c r="AB287" s="90"/>
      <c r="AC287" s="97" t="s">
        <v>1090</v>
      </c>
      <c r="AD287" s="97" t="s">
        <v>1281</v>
      </c>
      <c r="AE287" s="90" t="b">
        <v>0</v>
      </c>
      <c r="AF287" s="90">
        <v>1</v>
      </c>
      <c r="AG287" s="97" t="s">
        <v>1397</v>
      </c>
      <c r="AH287" s="90" t="b">
        <v>0</v>
      </c>
      <c r="AI287" s="90" t="s">
        <v>1442</v>
      </c>
      <c r="AJ287" s="90"/>
      <c r="AK287" s="97" t="s">
        <v>1338</v>
      </c>
      <c r="AL287" s="90" t="b">
        <v>0</v>
      </c>
      <c r="AM287" s="90">
        <v>0</v>
      </c>
      <c r="AN287" s="97" t="s">
        <v>1338</v>
      </c>
      <c r="AO287" s="97" t="s">
        <v>1452</v>
      </c>
      <c r="AP287" s="90" t="b">
        <v>0</v>
      </c>
      <c r="AQ287" s="97" t="s">
        <v>1281</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2</v>
      </c>
      <c r="BE287" s="89" t="str">
        <f>REPLACE(INDEX(GroupVertices[Group],MATCH(Edges[[#This Row],[Vertex 2]],GroupVertices[Vertex],0)),1,1,"")</f>
        <v>10</v>
      </c>
      <c r="BF287" s="49"/>
      <c r="BG287" s="50"/>
      <c r="BH287" s="49"/>
      <c r="BI287" s="50"/>
      <c r="BJ287" s="49"/>
      <c r="BK287" s="50"/>
      <c r="BL287" s="49"/>
      <c r="BM287" s="50"/>
      <c r="BN287" s="49"/>
    </row>
    <row r="288" spans="1:66" ht="15">
      <c r="A288" s="65" t="s">
        <v>306</v>
      </c>
      <c r="B288" s="65" t="s">
        <v>434</v>
      </c>
      <c r="C288" s="66" t="s">
        <v>5817</v>
      </c>
      <c r="D288" s="67">
        <v>1</v>
      </c>
      <c r="E288" s="68" t="s">
        <v>132</v>
      </c>
      <c r="F288" s="69">
        <v>32</v>
      </c>
      <c r="G288" s="66" t="s">
        <v>51</v>
      </c>
      <c r="H288" s="70"/>
      <c r="I288" s="71"/>
      <c r="J288" s="71"/>
      <c r="K288" s="35" t="s">
        <v>65</v>
      </c>
      <c r="L288" s="79">
        <v>288</v>
      </c>
      <c r="M288" s="79"/>
      <c r="N288" s="73"/>
      <c r="O288" s="90" t="s">
        <v>523</v>
      </c>
      <c r="P288" s="93">
        <v>44521.57236111111</v>
      </c>
      <c r="Q288" s="90" t="s">
        <v>580</v>
      </c>
      <c r="R288" s="90"/>
      <c r="S288" s="90"/>
      <c r="T288" s="90"/>
      <c r="U288" s="90"/>
      <c r="V288" s="96" t="str">
        <f>HYPERLINK("https://pbs.twimg.com/profile_images/453084718129348608/Wv5NC-39_normal.jpeg")</f>
        <v>https://pbs.twimg.com/profile_images/453084718129348608/Wv5NC-39_normal.jpeg</v>
      </c>
      <c r="W288" s="93">
        <v>44521.57236111111</v>
      </c>
      <c r="X288" s="100">
        <v>44521</v>
      </c>
      <c r="Y288" s="97" t="s">
        <v>841</v>
      </c>
      <c r="Z288" s="96" t="str">
        <f>HYPERLINK("https://twitter.com/quuquu/status/1462416557510909956")</f>
        <v>https://twitter.com/quuquu/status/1462416557510909956</v>
      </c>
      <c r="AA288" s="90"/>
      <c r="AB288" s="90"/>
      <c r="AC288" s="97" t="s">
        <v>1093</v>
      </c>
      <c r="AD288" s="97" t="s">
        <v>1282</v>
      </c>
      <c r="AE288" s="90" t="b">
        <v>0</v>
      </c>
      <c r="AF288" s="90">
        <v>49</v>
      </c>
      <c r="AG288" s="97" t="s">
        <v>1398</v>
      </c>
      <c r="AH288" s="90" t="b">
        <v>0</v>
      </c>
      <c r="AI288" s="90" t="s">
        <v>1442</v>
      </c>
      <c r="AJ288" s="90"/>
      <c r="AK288" s="97" t="s">
        <v>1338</v>
      </c>
      <c r="AL288" s="90" t="b">
        <v>0</v>
      </c>
      <c r="AM288" s="90">
        <v>5</v>
      </c>
      <c r="AN288" s="97" t="s">
        <v>1338</v>
      </c>
      <c r="AO288" s="97" t="s">
        <v>1451</v>
      </c>
      <c r="AP288" s="90" t="b">
        <v>0</v>
      </c>
      <c r="AQ288" s="97" t="s">
        <v>1282</v>
      </c>
      <c r="AR288" s="90" t="s">
        <v>522</v>
      </c>
      <c r="AS288" s="90">
        <v>0</v>
      </c>
      <c r="AT288" s="90">
        <v>0</v>
      </c>
      <c r="AU288" s="90"/>
      <c r="AV288" s="90"/>
      <c r="AW288" s="90"/>
      <c r="AX288" s="90"/>
      <c r="AY288" s="90"/>
      <c r="AZ288" s="90"/>
      <c r="BA288" s="90"/>
      <c r="BB288" s="90"/>
      <c r="BC288">
        <v>1</v>
      </c>
      <c r="BD288" s="89" t="str">
        <f>REPLACE(INDEX(GroupVertices[Group],MATCH(Edges[[#This Row],[Vertex 1]],GroupVertices[Vertex],0)),1,1,"")</f>
        <v>2</v>
      </c>
      <c r="BE288" s="89" t="str">
        <f>REPLACE(INDEX(GroupVertices[Group],MATCH(Edges[[#This Row],[Vertex 2]],GroupVertices[Vertex],0)),1,1,"")</f>
        <v>1</v>
      </c>
      <c r="BF288" s="49">
        <v>0</v>
      </c>
      <c r="BG288" s="50">
        <v>0</v>
      </c>
      <c r="BH288" s="49">
        <v>0</v>
      </c>
      <c r="BI288" s="50">
        <v>0</v>
      </c>
      <c r="BJ288" s="49">
        <v>0</v>
      </c>
      <c r="BK288" s="50">
        <v>0</v>
      </c>
      <c r="BL288" s="49">
        <v>23</v>
      </c>
      <c r="BM288" s="50">
        <v>100</v>
      </c>
      <c r="BN288" s="49">
        <v>23</v>
      </c>
    </row>
    <row r="289" spans="1:66" ht="15">
      <c r="A289" s="65" t="s">
        <v>306</v>
      </c>
      <c r="B289" s="65" t="s">
        <v>458</v>
      </c>
      <c r="C289" s="66" t="s">
        <v>5818</v>
      </c>
      <c r="D289" s="67">
        <v>1</v>
      </c>
      <c r="E289" s="68" t="s">
        <v>132</v>
      </c>
      <c r="F289" s="69">
        <v>32</v>
      </c>
      <c r="G289" s="66" t="s">
        <v>51</v>
      </c>
      <c r="H289" s="70"/>
      <c r="I289" s="71"/>
      <c r="J289" s="71"/>
      <c r="K289" s="35" t="s">
        <v>65</v>
      </c>
      <c r="L289" s="79">
        <v>289</v>
      </c>
      <c r="M289" s="79"/>
      <c r="N289" s="73"/>
      <c r="O289" s="90" t="s">
        <v>524</v>
      </c>
      <c r="P289" s="93">
        <v>44531.33414351852</v>
      </c>
      <c r="Q289" s="90" t="s">
        <v>616</v>
      </c>
      <c r="R289" s="90"/>
      <c r="S289" s="90"/>
      <c r="T289" s="90"/>
      <c r="U289" s="90"/>
      <c r="V289" s="96" t="str">
        <f>HYPERLINK("https://pbs.twimg.com/profile_images/453084718129348608/Wv5NC-39_normal.jpeg")</f>
        <v>https://pbs.twimg.com/profile_images/453084718129348608/Wv5NC-39_normal.jpeg</v>
      </c>
      <c r="W289" s="93">
        <v>44531.33414351852</v>
      </c>
      <c r="X289" s="100">
        <v>44531</v>
      </c>
      <c r="Y289" s="97" t="s">
        <v>842</v>
      </c>
      <c r="Z289" s="96" t="str">
        <f>HYPERLINK("https://twitter.com/quuquu/status/1465954110411313156")</f>
        <v>https://twitter.com/quuquu/status/1465954110411313156</v>
      </c>
      <c r="AA289" s="90"/>
      <c r="AB289" s="90"/>
      <c r="AC289" s="97" t="s">
        <v>1094</v>
      </c>
      <c r="AD289" s="97" t="s">
        <v>1283</v>
      </c>
      <c r="AE289" s="90" t="b">
        <v>0</v>
      </c>
      <c r="AF289" s="90">
        <v>1</v>
      </c>
      <c r="AG289" s="97" t="s">
        <v>1385</v>
      </c>
      <c r="AH289" s="90" t="b">
        <v>0</v>
      </c>
      <c r="AI289" s="90" t="s">
        <v>1442</v>
      </c>
      <c r="AJ289" s="90"/>
      <c r="AK289" s="97" t="s">
        <v>1338</v>
      </c>
      <c r="AL289" s="90" t="b">
        <v>0</v>
      </c>
      <c r="AM289" s="90">
        <v>0</v>
      </c>
      <c r="AN289" s="97" t="s">
        <v>1338</v>
      </c>
      <c r="AO289" s="97" t="s">
        <v>1451</v>
      </c>
      <c r="AP289" s="90" t="b">
        <v>0</v>
      </c>
      <c r="AQ289" s="97" t="s">
        <v>1283</v>
      </c>
      <c r="AR289" s="90" t="s">
        <v>187</v>
      </c>
      <c r="AS289" s="90">
        <v>0</v>
      </c>
      <c r="AT289" s="90">
        <v>0</v>
      </c>
      <c r="AU289" s="90"/>
      <c r="AV289" s="90"/>
      <c r="AW289" s="90"/>
      <c r="AX289" s="90"/>
      <c r="AY289" s="90"/>
      <c r="AZ289" s="90"/>
      <c r="BA289" s="90"/>
      <c r="BB289" s="90"/>
      <c r="BC289">
        <v>2</v>
      </c>
      <c r="BD289" s="89" t="str">
        <f>REPLACE(INDEX(GroupVertices[Group],MATCH(Edges[[#This Row],[Vertex 1]],GroupVertices[Vertex],0)),1,1,"")</f>
        <v>2</v>
      </c>
      <c r="BE289" s="89" t="str">
        <f>REPLACE(INDEX(GroupVertices[Group],MATCH(Edges[[#This Row],[Vertex 2]],GroupVertices[Vertex],0)),1,1,"")</f>
        <v>2</v>
      </c>
      <c r="BF289" s="49"/>
      <c r="BG289" s="50"/>
      <c r="BH289" s="49"/>
      <c r="BI289" s="50"/>
      <c r="BJ289" s="49"/>
      <c r="BK289" s="50"/>
      <c r="BL289" s="49"/>
      <c r="BM289" s="50"/>
      <c r="BN289" s="49"/>
    </row>
    <row r="290" spans="1:66" ht="15">
      <c r="A290" s="65" t="s">
        <v>306</v>
      </c>
      <c r="B290" s="65" t="s">
        <v>372</v>
      </c>
      <c r="C290" s="66" t="s">
        <v>5818</v>
      </c>
      <c r="D290" s="67">
        <v>1</v>
      </c>
      <c r="E290" s="68" t="s">
        <v>132</v>
      </c>
      <c r="F290" s="69">
        <v>32</v>
      </c>
      <c r="G290" s="66" t="s">
        <v>51</v>
      </c>
      <c r="H290" s="70"/>
      <c r="I290" s="71"/>
      <c r="J290" s="71"/>
      <c r="K290" s="35" t="s">
        <v>65</v>
      </c>
      <c r="L290" s="79">
        <v>290</v>
      </c>
      <c r="M290" s="79"/>
      <c r="N290" s="73"/>
      <c r="O290" s="90" t="s">
        <v>524</v>
      </c>
      <c r="P290" s="93">
        <v>44531.33414351852</v>
      </c>
      <c r="Q290" s="90" t="s">
        <v>616</v>
      </c>
      <c r="R290" s="90"/>
      <c r="S290" s="90"/>
      <c r="T290" s="90"/>
      <c r="U290" s="90"/>
      <c r="V290" s="96" t="str">
        <f>HYPERLINK("https://pbs.twimg.com/profile_images/453084718129348608/Wv5NC-39_normal.jpeg")</f>
        <v>https://pbs.twimg.com/profile_images/453084718129348608/Wv5NC-39_normal.jpeg</v>
      </c>
      <c r="W290" s="93">
        <v>44531.33414351852</v>
      </c>
      <c r="X290" s="100">
        <v>44531</v>
      </c>
      <c r="Y290" s="97" t="s">
        <v>842</v>
      </c>
      <c r="Z290" s="96" t="str">
        <f>HYPERLINK("https://twitter.com/quuquu/status/1465954110411313156")</f>
        <v>https://twitter.com/quuquu/status/1465954110411313156</v>
      </c>
      <c r="AA290" s="90"/>
      <c r="AB290" s="90"/>
      <c r="AC290" s="97" t="s">
        <v>1094</v>
      </c>
      <c r="AD290" s="97" t="s">
        <v>1283</v>
      </c>
      <c r="AE290" s="90" t="b">
        <v>0</v>
      </c>
      <c r="AF290" s="90">
        <v>1</v>
      </c>
      <c r="AG290" s="97" t="s">
        <v>1385</v>
      </c>
      <c r="AH290" s="90" t="b">
        <v>0</v>
      </c>
      <c r="AI290" s="90" t="s">
        <v>1442</v>
      </c>
      <c r="AJ290" s="90"/>
      <c r="AK290" s="97" t="s">
        <v>1338</v>
      </c>
      <c r="AL290" s="90" t="b">
        <v>0</v>
      </c>
      <c r="AM290" s="90">
        <v>0</v>
      </c>
      <c r="AN290" s="97" t="s">
        <v>1338</v>
      </c>
      <c r="AO290" s="97" t="s">
        <v>1451</v>
      </c>
      <c r="AP290" s="90" t="b">
        <v>0</v>
      </c>
      <c r="AQ290" s="97" t="s">
        <v>1283</v>
      </c>
      <c r="AR290" s="90" t="s">
        <v>187</v>
      </c>
      <c r="AS290" s="90">
        <v>0</v>
      </c>
      <c r="AT290" s="90">
        <v>0</v>
      </c>
      <c r="AU290" s="90"/>
      <c r="AV290" s="90"/>
      <c r="AW290" s="90"/>
      <c r="AX290" s="90"/>
      <c r="AY290" s="90"/>
      <c r="AZ290" s="90"/>
      <c r="BA290" s="90"/>
      <c r="BB290" s="90"/>
      <c r="BC290">
        <v>2</v>
      </c>
      <c r="BD290" s="89" t="str">
        <f>REPLACE(INDEX(GroupVertices[Group],MATCH(Edges[[#This Row],[Vertex 1]],GroupVertices[Vertex],0)),1,1,"")</f>
        <v>2</v>
      </c>
      <c r="BE290" s="89" t="str">
        <f>REPLACE(INDEX(GroupVertices[Group],MATCH(Edges[[#This Row],[Vertex 2]],GroupVertices[Vertex],0)),1,1,"")</f>
        <v>2</v>
      </c>
      <c r="BF290" s="49">
        <v>0</v>
      </c>
      <c r="BG290" s="50">
        <v>0</v>
      </c>
      <c r="BH290" s="49">
        <v>0</v>
      </c>
      <c r="BI290" s="50">
        <v>0</v>
      </c>
      <c r="BJ290" s="49">
        <v>0</v>
      </c>
      <c r="BK290" s="50">
        <v>0</v>
      </c>
      <c r="BL290" s="49">
        <v>10</v>
      </c>
      <c r="BM290" s="50">
        <v>100</v>
      </c>
      <c r="BN290" s="49">
        <v>10</v>
      </c>
    </row>
    <row r="291" spans="1:66" ht="15">
      <c r="A291" s="65" t="s">
        <v>306</v>
      </c>
      <c r="B291" s="65" t="s">
        <v>459</v>
      </c>
      <c r="C291" s="66" t="s">
        <v>5818</v>
      </c>
      <c r="D291" s="67">
        <v>1</v>
      </c>
      <c r="E291" s="68" t="s">
        <v>132</v>
      </c>
      <c r="F291" s="69">
        <v>32</v>
      </c>
      <c r="G291" s="66" t="s">
        <v>51</v>
      </c>
      <c r="H291" s="70"/>
      <c r="I291" s="71"/>
      <c r="J291" s="71"/>
      <c r="K291" s="35" t="s">
        <v>65</v>
      </c>
      <c r="L291" s="79">
        <v>291</v>
      </c>
      <c r="M291" s="79"/>
      <c r="N291" s="73"/>
      <c r="O291" s="90" t="s">
        <v>523</v>
      </c>
      <c r="P291" s="93">
        <v>44531.33414351852</v>
      </c>
      <c r="Q291" s="90" t="s">
        <v>616</v>
      </c>
      <c r="R291" s="90"/>
      <c r="S291" s="90"/>
      <c r="T291" s="90"/>
      <c r="U291" s="90"/>
      <c r="V291" s="96" t="str">
        <f>HYPERLINK("https://pbs.twimg.com/profile_images/453084718129348608/Wv5NC-39_normal.jpeg")</f>
        <v>https://pbs.twimg.com/profile_images/453084718129348608/Wv5NC-39_normal.jpeg</v>
      </c>
      <c r="W291" s="93">
        <v>44531.33414351852</v>
      </c>
      <c r="X291" s="100">
        <v>44531</v>
      </c>
      <c r="Y291" s="97" t="s">
        <v>842</v>
      </c>
      <c r="Z291" s="96" t="str">
        <f>HYPERLINK("https://twitter.com/quuquu/status/1465954110411313156")</f>
        <v>https://twitter.com/quuquu/status/1465954110411313156</v>
      </c>
      <c r="AA291" s="90"/>
      <c r="AB291" s="90"/>
      <c r="AC291" s="97" t="s">
        <v>1094</v>
      </c>
      <c r="AD291" s="97" t="s">
        <v>1283</v>
      </c>
      <c r="AE291" s="90" t="b">
        <v>0</v>
      </c>
      <c r="AF291" s="90">
        <v>1</v>
      </c>
      <c r="AG291" s="97" t="s">
        <v>1385</v>
      </c>
      <c r="AH291" s="90" t="b">
        <v>0</v>
      </c>
      <c r="AI291" s="90" t="s">
        <v>1442</v>
      </c>
      <c r="AJ291" s="90"/>
      <c r="AK291" s="97" t="s">
        <v>1338</v>
      </c>
      <c r="AL291" s="90" t="b">
        <v>0</v>
      </c>
      <c r="AM291" s="90">
        <v>0</v>
      </c>
      <c r="AN291" s="97" t="s">
        <v>1338</v>
      </c>
      <c r="AO291" s="97" t="s">
        <v>1451</v>
      </c>
      <c r="AP291" s="90" t="b">
        <v>0</v>
      </c>
      <c r="AQ291" s="97" t="s">
        <v>1283</v>
      </c>
      <c r="AR291" s="90" t="s">
        <v>187</v>
      </c>
      <c r="AS291" s="90">
        <v>0</v>
      </c>
      <c r="AT291" s="90">
        <v>0</v>
      </c>
      <c r="AU291" s="90"/>
      <c r="AV291" s="90"/>
      <c r="AW291" s="90"/>
      <c r="AX291" s="90"/>
      <c r="AY291" s="90"/>
      <c r="AZ291" s="90"/>
      <c r="BA291" s="90"/>
      <c r="BB291" s="90"/>
      <c r="BC291">
        <v>2</v>
      </c>
      <c r="BD291" s="89" t="str">
        <f>REPLACE(INDEX(GroupVertices[Group],MATCH(Edges[[#This Row],[Vertex 1]],GroupVertices[Vertex],0)),1,1,"")</f>
        <v>2</v>
      </c>
      <c r="BE291" s="89" t="str">
        <f>REPLACE(INDEX(GroupVertices[Group],MATCH(Edges[[#This Row],[Vertex 2]],GroupVertices[Vertex],0)),1,1,"")</f>
        <v>2</v>
      </c>
      <c r="BF291" s="49"/>
      <c r="BG291" s="50"/>
      <c r="BH291" s="49"/>
      <c r="BI291" s="50"/>
      <c r="BJ291" s="49"/>
      <c r="BK291" s="50"/>
      <c r="BL291" s="49"/>
      <c r="BM291" s="50"/>
      <c r="BN291" s="49"/>
    </row>
    <row r="292" spans="1:66" ht="15">
      <c r="A292" s="65" t="s">
        <v>306</v>
      </c>
      <c r="B292" s="65" t="s">
        <v>458</v>
      </c>
      <c r="C292" s="66" t="s">
        <v>5818</v>
      </c>
      <c r="D292" s="67">
        <v>1</v>
      </c>
      <c r="E292" s="68" t="s">
        <v>132</v>
      </c>
      <c r="F292" s="69">
        <v>32</v>
      </c>
      <c r="G292" s="66" t="s">
        <v>51</v>
      </c>
      <c r="H292" s="70"/>
      <c r="I292" s="71"/>
      <c r="J292" s="71"/>
      <c r="K292" s="35" t="s">
        <v>65</v>
      </c>
      <c r="L292" s="79">
        <v>292</v>
      </c>
      <c r="M292" s="79"/>
      <c r="N292" s="73"/>
      <c r="O292" s="90" t="s">
        <v>524</v>
      </c>
      <c r="P292" s="93">
        <v>44531.33640046296</v>
      </c>
      <c r="Q292" s="90" t="s">
        <v>617</v>
      </c>
      <c r="R292"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2" s="90" t="s">
        <v>691</v>
      </c>
      <c r="T292" s="90"/>
      <c r="U292" s="90"/>
      <c r="V292" s="96" t="str">
        <f>HYPERLINK("https://pbs.twimg.com/profile_images/453084718129348608/Wv5NC-39_normal.jpeg")</f>
        <v>https://pbs.twimg.com/profile_images/453084718129348608/Wv5NC-39_normal.jpeg</v>
      </c>
      <c r="W292" s="93">
        <v>44531.33640046296</v>
      </c>
      <c r="X292" s="100">
        <v>44531</v>
      </c>
      <c r="Y292" s="97" t="s">
        <v>843</v>
      </c>
      <c r="Z292" s="96" t="str">
        <f>HYPERLINK("https://twitter.com/quuquu/status/1465954927419826179")</f>
        <v>https://twitter.com/quuquu/status/1465954927419826179</v>
      </c>
      <c r="AA292" s="90"/>
      <c r="AB292" s="90"/>
      <c r="AC292" s="97" t="s">
        <v>1095</v>
      </c>
      <c r="AD292" s="97" t="s">
        <v>1283</v>
      </c>
      <c r="AE292" s="90" t="b">
        <v>0</v>
      </c>
      <c r="AF292" s="90">
        <v>15</v>
      </c>
      <c r="AG292" s="97" t="s">
        <v>1385</v>
      </c>
      <c r="AH292" s="90" t="b">
        <v>0</v>
      </c>
      <c r="AI292" s="90" t="s">
        <v>1442</v>
      </c>
      <c r="AJ292" s="90"/>
      <c r="AK292" s="97" t="s">
        <v>1338</v>
      </c>
      <c r="AL292" s="90" t="b">
        <v>0</v>
      </c>
      <c r="AM292" s="90">
        <v>1</v>
      </c>
      <c r="AN292" s="97" t="s">
        <v>1338</v>
      </c>
      <c r="AO292" s="97" t="s">
        <v>1451</v>
      </c>
      <c r="AP292" s="90" t="b">
        <v>0</v>
      </c>
      <c r="AQ292" s="97" t="s">
        <v>1283</v>
      </c>
      <c r="AR292" s="90" t="s">
        <v>187</v>
      </c>
      <c r="AS292" s="90">
        <v>0</v>
      </c>
      <c r="AT292" s="90">
        <v>0</v>
      </c>
      <c r="AU292" s="90"/>
      <c r="AV292" s="90"/>
      <c r="AW292" s="90"/>
      <c r="AX292" s="90"/>
      <c r="AY292" s="90"/>
      <c r="AZ292" s="90"/>
      <c r="BA292" s="90"/>
      <c r="BB292" s="90"/>
      <c r="BC292">
        <v>2</v>
      </c>
      <c r="BD292" s="89" t="str">
        <f>REPLACE(INDEX(GroupVertices[Group],MATCH(Edges[[#This Row],[Vertex 1]],GroupVertices[Vertex],0)),1,1,"")</f>
        <v>2</v>
      </c>
      <c r="BE292" s="89" t="str">
        <f>REPLACE(INDEX(GroupVertices[Group],MATCH(Edges[[#This Row],[Vertex 2]],GroupVertices[Vertex],0)),1,1,"")</f>
        <v>2</v>
      </c>
      <c r="BF292" s="49"/>
      <c r="BG292" s="50"/>
      <c r="BH292" s="49"/>
      <c r="BI292" s="50"/>
      <c r="BJ292" s="49"/>
      <c r="BK292" s="50"/>
      <c r="BL292" s="49"/>
      <c r="BM292" s="50"/>
      <c r="BN292" s="49"/>
    </row>
    <row r="293" spans="1:66" ht="15">
      <c r="A293" s="65" t="s">
        <v>306</v>
      </c>
      <c r="B293" s="65" t="s">
        <v>372</v>
      </c>
      <c r="C293" s="66" t="s">
        <v>5818</v>
      </c>
      <c r="D293" s="67">
        <v>1</v>
      </c>
      <c r="E293" s="68" t="s">
        <v>132</v>
      </c>
      <c r="F293" s="69">
        <v>32</v>
      </c>
      <c r="G293" s="66" t="s">
        <v>51</v>
      </c>
      <c r="H293" s="70"/>
      <c r="I293" s="71"/>
      <c r="J293" s="71"/>
      <c r="K293" s="35" t="s">
        <v>65</v>
      </c>
      <c r="L293" s="79">
        <v>293</v>
      </c>
      <c r="M293" s="79"/>
      <c r="N293" s="73"/>
      <c r="O293" s="90" t="s">
        <v>524</v>
      </c>
      <c r="P293" s="93">
        <v>44531.33640046296</v>
      </c>
      <c r="Q293" s="90" t="s">
        <v>617</v>
      </c>
      <c r="R293"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3" s="90" t="s">
        <v>691</v>
      </c>
      <c r="T293" s="90"/>
      <c r="U293" s="90"/>
      <c r="V293" s="96" t="str">
        <f>HYPERLINK("https://pbs.twimg.com/profile_images/453084718129348608/Wv5NC-39_normal.jpeg")</f>
        <v>https://pbs.twimg.com/profile_images/453084718129348608/Wv5NC-39_normal.jpeg</v>
      </c>
      <c r="W293" s="93">
        <v>44531.33640046296</v>
      </c>
      <c r="X293" s="100">
        <v>44531</v>
      </c>
      <c r="Y293" s="97" t="s">
        <v>843</v>
      </c>
      <c r="Z293" s="96" t="str">
        <f>HYPERLINK("https://twitter.com/quuquu/status/1465954927419826179")</f>
        <v>https://twitter.com/quuquu/status/1465954927419826179</v>
      </c>
      <c r="AA293" s="90"/>
      <c r="AB293" s="90"/>
      <c r="AC293" s="97" t="s">
        <v>1095</v>
      </c>
      <c r="AD293" s="97" t="s">
        <v>1283</v>
      </c>
      <c r="AE293" s="90" t="b">
        <v>0</v>
      </c>
      <c r="AF293" s="90">
        <v>15</v>
      </c>
      <c r="AG293" s="97" t="s">
        <v>1385</v>
      </c>
      <c r="AH293" s="90" t="b">
        <v>0</v>
      </c>
      <c r="AI293" s="90" t="s">
        <v>1442</v>
      </c>
      <c r="AJ293" s="90"/>
      <c r="AK293" s="97" t="s">
        <v>1338</v>
      </c>
      <c r="AL293" s="90" t="b">
        <v>0</v>
      </c>
      <c r="AM293" s="90">
        <v>1</v>
      </c>
      <c r="AN293" s="97" t="s">
        <v>1338</v>
      </c>
      <c r="AO293" s="97" t="s">
        <v>1451</v>
      </c>
      <c r="AP293" s="90" t="b">
        <v>0</v>
      </c>
      <c r="AQ293" s="97" t="s">
        <v>1283</v>
      </c>
      <c r="AR293" s="90" t="s">
        <v>187</v>
      </c>
      <c r="AS293" s="90">
        <v>0</v>
      </c>
      <c r="AT293" s="90">
        <v>0</v>
      </c>
      <c r="AU293" s="90"/>
      <c r="AV293" s="90"/>
      <c r="AW293" s="90"/>
      <c r="AX293" s="90"/>
      <c r="AY293" s="90"/>
      <c r="AZ293" s="90"/>
      <c r="BA293" s="90"/>
      <c r="BB293" s="90"/>
      <c r="BC293">
        <v>2</v>
      </c>
      <c r="BD293" s="89" t="str">
        <f>REPLACE(INDEX(GroupVertices[Group],MATCH(Edges[[#This Row],[Vertex 1]],GroupVertices[Vertex],0)),1,1,"")</f>
        <v>2</v>
      </c>
      <c r="BE293" s="89" t="str">
        <f>REPLACE(INDEX(GroupVertices[Group],MATCH(Edges[[#This Row],[Vertex 2]],GroupVertices[Vertex],0)),1,1,"")</f>
        <v>2</v>
      </c>
      <c r="BF293" s="49">
        <v>0</v>
      </c>
      <c r="BG293" s="50">
        <v>0</v>
      </c>
      <c r="BH293" s="49">
        <v>0</v>
      </c>
      <c r="BI293" s="50">
        <v>0</v>
      </c>
      <c r="BJ293" s="49">
        <v>0</v>
      </c>
      <c r="BK293" s="50">
        <v>0</v>
      </c>
      <c r="BL293" s="49">
        <v>9</v>
      </c>
      <c r="BM293" s="50">
        <v>100</v>
      </c>
      <c r="BN293" s="49">
        <v>9</v>
      </c>
    </row>
    <row r="294" spans="1:66" ht="15">
      <c r="A294" s="65" t="s">
        <v>306</v>
      </c>
      <c r="B294" s="65" t="s">
        <v>459</v>
      </c>
      <c r="C294" s="66" t="s">
        <v>5818</v>
      </c>
      <c r="D294" s="67">
        <v>1</v>
      </c>
      <c r="E294" s="68" t="s">
        <v>132</v>
      </c>
      <c r="F294" s="69">
        <v>32</v>
      </c>
      <c r="G294" s="66" t="s">
        <v>51</v>
      </c>
      <c r="H294" s="70"/>
      <c r="I294" s="71"/>
      <c r="J294" s="71"/>
      <c r="K294" s="35" t="s">
        <v>65</v>
      </c>
      <c r="L294" s="79">
        <v>294</v>
      </c>
      <c r="M294" s="79"/>
      <c r="N294" s="73"/>
      <c r="O294" s="90" t="s">
        <v>523</v>
      </c>
      <c r="P294" s="93">
        <v>44531.33640046296</v>
      </c>
      <c r="Q294" s="90" t="s">
        <v>617</v>
      </c>
      <c r="R294"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294" s="90" t="s">
        <v>691</v>
      </c>
      <c r="T294" s="90"/>
      <c r="U294" s="90"/>
      <c r="V294" s="96" t="str">
        <f>HYPERLINK("https://pbs.twimg.com/profile_images/453084718129348608/Wv5NC-39_normal.jpeg")</f>
        <v>https://pbs.twimg.com/profile_images/453084718129348608/Wv5NC-39_normal.jpeg</v>
      </c>
      <c r="W294" s="93">
        <v>44531.33640046296</v>
      </c>
      <c r="X294" s="100">
        <v>44531</v>
      </c>
      <c r="Y294" s="97" t="s">
        <v>843</v>
      </c>
      <c r="Z294" s="96" t="str">
        <f>HYPERLINK("https://twitter.com/quuquu/status/1465954927419826179")</f>
        <v>https://twitter.com/quuquu/status/1465954927419826179</v>
      </c>
      <c r="AA294" s="90"/>
      <c r="AB294" s="90"/>
      <c r="AC294" s="97" t="s">
        <v>1095</v>
      </c>
      <c r="AD294" s="97" t="s">
        <v>1283</v>
      </c>
      <c r="AE294" s="90" t="b">
        <v>0</v>
      </c>
      <c r="AF294" s="90">
        <v>15</v>
      </c>
      <c r="AG294" s="97" t="s">
        <v>1385</v>
      </c>
      <c r="AH294" s="90" t="b">
        <v>0</v>
      </c>
      <c r="AI294" s="90" t="s">
        <v>1442</v>
      </c>
      <c r="AJ294" s="90"/>
      <c r="AK294" s="97" t="s">
        <v>1338</v>
      </c>
      <c r="AL294" s="90" t="b">
        <v>0</v>
      </c>
      <c r="AM294" s="90">
        <v>1</v>
      </c>
      <c r="AN294" s="97" t="s">
        <v>1338</v>
      </c>
      <c r="AO294" s="97" t="s">
        <v>1451</v>
      </c>
      <c r="AP294" s="90" t="b">
        <v>0</v>
      </c>
      <c r="AQ294" s="97" t="s">
        <v>1283</v>
      </c>
      <c r="AR294" s="90" t="s">
        <v>187</v>
      </c>
      <c r="AS294" s="90">
        <v>0</v>
      </c>
      <c r="AT294" s="90">
        <v>0</v>
      </c>
      <c r="AU294" s="90"/>
      <c r="AV294" s="90"/>
      <c r="AW294" s="90"/>
      <c r="AX294" s="90"/>
      <c r="AY294" s="90"/>
      <c r="AZ294" s="90"/>
      <c r="BA294" s="90"/>
      <c r="BB294" s="90"/>
      <c r="BC294">
        <v>2</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307</v>
      </c>
      <c r="B295" s="65" t="s">
        <v>307</v>
      </c>
      <c r="C295" s="66" t="s">
        <v>5817</v>
      </c>
      <c r="D295" s="67">
        <v>1</v>
      </c>
      <c r="E295" s="68" t="s">
        <v>132</v>
      </c>
      <c r="F295" s="69">
        <v>32</v>
      </c>
      <c r="G295" s="66" t="s">
        <v>51</v>
      </c>
      <c r="H295" s="70"/>
      <c r="I295" s="71"/>
      <c r="J295" s="71"/>
      <c r="K295" s="35" t="s">
        <v>65</v>
      </c>
      <c r="L295" s="79">
        <v>295</v>
      </c>
      <c r="M295" s="79"/>
      <c r="N295" s="73"/>
      <c r="O295" s="90" t="s">
        <v>187</v>
      </c>
      <c r="P295" s="93">
        <v>44531.33865740741</v>
      </c>
      <c r="Q295" s="90" t="s">
        <v>618</v>
      </c>
      <c r="R295" s="96" t="str">
        <f>HYPERLINK("https://twitter.com/Tommi_Kinnunen/status/1465795338552459274")</f>
        <v>https://twitter.com/Tommi_Kinnunen/status/1465795338552459274</v>
      </c>
      <c r="S295" s="90" t="s">
        <v>693</v>
      </c>
      <c r="T295" s="90"/>
      <c r="U295" s="90"/>
      <c r="V295" s="96" t="str">
        <f>HYPERLINK("https://pbs.twimg.com/profile_images/1452622001403801602/dyOOQK6-_normal.jpg")</f>
        <v>https://pbs.twimg.com/profile_images/1452622001403801602/dyOOQK6-_normal.jpg</v>
      </c>
      <c r="W295" s="93">
        <v>44531.33865740741</v>
      </c>
      <c r="X295" s="100">
        <v>44531</v>
      </c>
      <c r="Y295" s="97" t="s">
        <v>844</v>
      </c>
      <c r="Z295" s="96" t="str">
        <f>HYPERLINK("https://twitter.com/katjakurk/status/1465955746051407881")</f>
        <v>https://twitter.com/katjakurk/status/1465955746051407881</v>
      </c>
      <c r="AA295" s="90"/>
      <c r="AB295" s="90"/>
      <c r="AC295" s="97" t="s">
        <v>1096</v>
      </c>
      <c r="AD295" s="90"/>
      <c r="AE295" s="90" t="b">
        <v>0</v>
      </c>
      <c r="AF295" s="90">
        <v>88</v>
      </c>
      <c r="AG295" s="97" t="s">
        <v>1338</v>
      </c>
      <c r="AH295" s="90" t="b">
        <v>1</v>
      </c>
      <c r="AI295" s="90" t="s">
        <v>1442</v>
      </c>
      <c r="AJ295" s="90"/>
      <c r="AK295" s="97" t="s">
        <v>1269</v>
      </c>
      <c r="AL295" s="90" t="b">
        <v>0</v>
      </c>
      <c r="AM295" s="90">
        <v>0</v>
      </c>
      <c r="AN295" s="97" t="s">
        <v>1338</v>
      </c>
      <c r="AO295" s="97" t="s">
        <v>1452</v>
      </c>
      <c r="AP295" s="90" t="b">
        <v>0</v>
      </c>
      <c r="AQ295" s="97" t="s">
        <v>1096</v>
      </c>
      <c r="AR295" s="90" t="s">
        <v>187</v>
      </c>
      <c r="AS295" s="90">
        <v>0</v>
      </c>
      <c r="AT295" s="90">
        <v>0</v>
      </c>
      <c r="AU295" s="90"/>
      <c r="AV295" s="90"/>
      <c r="AW295" s="90"/>
      <c r="AX295" s="90"/>
      <c r="AY295" s="90"/>
      <c r="AZ295" s="90"/>
      <c r="BA295" s="90"/>
      <c r="BB295" s="90"/>
      <c r="BC295">
        <v>1</v>
      </c>
      <c r="BD295" s="89" t="str">
        <f>REPLACE(INDEX(GroupVertices[Group],MATCH(Edges[[#This Row],[Vertex 1]],GroupVertices[Vertex],0)),1,1,"")</f>
        <v>8</v>
      </c>
      <c r="BE295" s="89" t="str">
        <f>REPLACE(INDEX(GroupVertices[Group],MATCH(Edges[[#This Row],[Vertex 2]],GroupVertices[Vertex],0)),1,1,"")</f>
        <v>8</v>
      </c>
      <c r="BF295" s="49">
        <v>0</v>
      </c>
      <c r="BG295" s="50">
        <v>0</v>
      </c>
      <c r="BH295" s="49">
        <v>0</v>
      </c>
      <c r="BI295" s="50">
        <v>0</v>
      </c>
      <c r="BJ295" s="49">
        <v>0</v>
      </c>
      <c r="BK295" s="50">
        <v>0</v>
      </c>
      <c r="BL295" s="49">
        <v>18</v>
      </c>
      <c r="BM295" s="50">
        <v>100</v>
      </c>
      <c r="BN295" s="49">
        <v>18</v>
      </c>
    </row>
    <row r="296" spans="1:66" ht="15">
      <c r="A296" s="65" t="s">
        <v>308</v>
      </c>
      <c r="B296" s="65" t="s">
        <v>349</v>
      </c>
      <c r="C296" s="66" t="s">
        <v>5817</v>
      </c>
      <c r="D296" s="67">
        <v>1</v>
      </c>
      <c r="E296" s="68" t="s">
        <v>132</v>
      </c>
      <c r="F296" s="69">
        <v>32</v>
      </c>
      <c r="G296" s="66" t="s">
        <v>51</v>
      </c>
      <c r="H296" s="70"/>
      <c r="I296" s="71"/>
      <c r="J296" s="71"/>
      <c r="K296" s="35" t="s">
        <v>65</v>
      </c>
      <c r="L296" s="79">
        <v>296</v>
      </c>
      <c r="M296" s="79"/>
      <c r="N296" s="73"/>
      <c r="O296" s="90" t="s">
        <v>522</v>
      </c>
      <c r="P296" s="93">
        <v>44531.34171296296</v>
      </c>
      <c r="Q296" s="90" t="s">
        <v>577</v>
      </c>
      <c r="R296" s="90"/>
      <c r="S296" s="90"/>
      <c r="T296" s="97" t="s">
        <v>226</v>
      </c>
      <c r="U296" s="90"/>
      <c r="V296" s="96" t="str">
        <f>HYPERLINK("https://pbs.twimg.com/profile_images/1431275795708796934/J3u64dgs_normal.jpg")</f>
        <v>https://pbs.twimg.com/profile_images/1431275795708796934/J3u64dgs_normal.jpg</v>
      </c>
      <c r="W296" s="93">
        <v>44531.34171296296</v>
      </c>
      <c r="X296" s="100">
        <v>44531</v>
      </c>
      <c r="Y296" s="97" t="s">
        <v>845</v>
      </c>
      <c r="Z296" s="96" t="str">
        <f>HYPERLINK("https://twitter.com/sliquid84/status/1465956853318365188")</f>
        <v>https://twitter.com/sliquid84/status/1465956853318365188</v>
      </c>
      <c r="AA296" s="90"/>
      <c r="AB296" s="90"/>
      <c r="AC296" s="97" t="s">
        <v>1097</v>
      </c>
      <c r="AD296" s="90"/>
      <c r="AE296" s="90" t="b">
        <v>0</v>
      </c>
      <c r="AF296" s="90">
        <v>0</v>
      </c>
      <c r="AG296" s="97" t="s">
        <v>1338</v>
      </c>
      <c r="AH296" s="90" t="b">
        <v>0</v>
      </c>
      <c r="AI296" s="90" t="s">
        <v>1442</v>
      </c>
      <c r="AJ296" s="90"/>
      <c r="AK296" s="97" t="s">
        <v>1338</v>
      </c>
      <c r="AL296" s="90" t="b">
        <v>0</v>
      </c>
      <c r="AM296" s="90">
        <v>14</v>
      </c>
      <c r="AN296" s="97" t="s">
        <v>1178</v>
      </c>
      <c r="AO296" s="97" t="s">
        <v>1452</v>
      </c>
      <c r="AP296" s="90" t="b">
        <v>0</v>
      </c>
      <c r="AQ296" s="97" t="s">
        <v>1178</v>
      </c>
      <c r="AR296" s="90" t="s">
        <v>187</v>
      </c>
      <c r="AS296" s="90">
        <v>0</v>
      </c>
      <c r="AT296" s="90">
        <v>0</v>
      </c>
      <c r="AU296" s="90"/>
      <c r="AV296" s="90"/>
      <c r="AW296" s="90"/>
      <c r="AX296" s="90"/>
      <c r="AY296" s="90"/>
      <c r="AZ296" s="90"/>
      <c r="BA296" s="90"/>
      <c r="BB296" s="90"/>
      <c r="BC296">
        <v>1</v>
      </c>
      <c r="BD296" s="89" t="str">
        <f>REPLACE(INDEX(GroupVertices[Group],MATCH(Edges[[#This Row],[Vertex 1]],GroupVertices[Vertex],0)),1,1,"")</f>
        <v>5</v>
      </c>
      <c r="BE296" s="89" t="str">
        <f>REPLACE(INDEX(GroupVertices[Group],MATCH(Edges[[#This Row],[Vertex 2]],GroupVertices[Vertex],0)),1,1,"")</f>
        <v>5</v>
      </c>
      <c r="BF296" s="49"/>
      <c r="BG296" s="50"/>
      <c r="BH296" s="49"/>
      <c r="BI296" s="50"/>
      <c r="BJ296" s="49"/>
      <c r="BK296" s="50"/>
      <c r="BL296" s="49"/>
      <c r="BM296" s="50"/>
      <c r="BN296" s="49"/>
    </row>
    <row r="297" spans="1:66" ht="15">
      <c r="A297" s="65" t="s">
        <v>308</v>
      </c>
      <c r="B297" s="65" t="s">
        <v>432</v>
      </c>
      <c r="C297" s="66" t="s">
        <v>5817</v>
      </c>
      <c r="D297" s="67">
        <v>1</v>
      </c>
      <c r="E297" s="68" t="s">
        <v>132</v>
      </c>
      <c r="F297" s="69">
        <v>32</v>
      </c>
      <c r="G297" s="66" t="s">
        <v>51</v>
      </c>
      <c r="H297" s="70"/>
      <c r="I297" s="71"/>
      <c r="J297" s="71"/>
      <c r="K297" s="35" t="s">
        <v>65</v>
      </c>
      <c r="L297" s="79">
        <v>297</v>
      </c>
      <c r="M297" s="79"/>
      <c r="N297" s="73"/>
      <c r="O297" s="90" t="s">
        <v>523</v>
      </c>
      <c r="P297" s="93">
        <v>44531.34171296296</v>
      </c>
      <c r="Q297" s="90" t="s">
        <v>577</v>
      </c>
      <c r="R297" s="90"/>
      <c r="S297" s="90"/>
      <c r="T297" s="97" t="s">
        <v>226</v>
      </c>
      <c r="U297" s="90"/>
      <c r="V297" s="96" t="str">
        <f>HYPERLINK("https://pbs.twimg.com/profile_images/1431275795708796934/J3u64dgs_normal.jpg")</f>
        <v>https://pbs.twimg.com/profile_images/1431275795708796934/J3u64dgs_normal.jpg</v>
      </c>
      <c r="W297" s="93">
        <v>44531.34171296296</v>
      </c>
      <c r="X297" s="100">
        <v>44531</v>
      </c>
      <c r="Y297" s="97" t="s">
        <v>845</v>
      </c>
      <c r="Z297" s="96" t="str">
        <f>HYPERLINK("https://twitter.com/sliquid84/status/1465956853318365188")</f>
        <v>https://twitter.com/sliquid84/status/1465956853318365188</v>
      </c>
      <c r="AA297" s="90"/>
      <c r="AB297" s="90"/>
      <c r="AC297" s="97" t="s">
        <v>1097</v>
      </c>
      <c r="AD297" s="90"/>
      <c r="AE297" s="90" t="b">
        <v>0</v>
      </c>
      <c r="AF297" s="90">
        <v>0</v>
      </c>
      <c r="AG297" s="97" t="s">
        <v>1338</v>
      </c>
      <c r="AH297" s="90" t="b">
        <v>0</v>
      </c>
      <c r="AI297" s="90" t="s">
        <v>1442</v>
      </c>
      <c r="AJ297" s="90"/>
      <c r="AK297" s="97" t="s">
        <v>1338</v>
      </c>
      <c r="AL297" s="90" t="b">
        <v>0</v>
      </c>
      <c r="AM297" s="90">
        <v>14</v>
      </c>
      <c r="AN297" s="97" t="s">
        <v>1178</v>
      </c>
      <c r="AO297" s="97" t="s">
        <v>1452</v>
      </c>
      <c r="AP297" s="90" t="b">
        <v>0</v>
      </c>
      <c r="AQ297" s="97" t="s">
        <v>1178</v>
      </c>
      <c r="AR297" s="90" t="s">
        <v>187</v>
      </c>
      <c r="AS297" s="90">
        <v>0</v>
      </c>
      <c r="AT297" s="90">
        <v>0</v>
      </c>
      <c r="AU297" s="90"/>
      <c r="AV297" s="90"/>
      <c r="AW297" s="90"/>
      <c r="AX297" s="90"/>
      <c r="AY297" s="90"/>
      <c r="AZ297" s="90"/>
      <c r="BA297" s="90"/>
      <c r="BB297" s="90"/>
      <c r="BC297">
        <v>1</v>
      </c>
      <c r="BD297" s="89" t="str">
        <f>REPLACE(INDEX(GroupVertices[Group],MATCH(Edges[[#This Row],[Vertex 1]],GroupVertices[Vertex],0)),1,1,"")</f>
        <v>5</v>
      </c>
      <c r="BE297" s="89" t="str">
        <f>REPLACE(INDEX(GroupVertices[Group],MATCH(Edges[[#This Row],[Vertex 2]],GroupVertices[Vertex],0)),1,1,"")</f>
        <v>5</v>
      </c>
      <c r="BF297" s="49">
        <v>0</v>
      </c>
      <c r="BG297" s="50">
        <v>0</v>
      </c>
      <c r="BH297" s="49">
        <v>0</v>
      </c>
      <c r="BI297" s="50">
        <v>0</v>
      </c>
      <c r="BJ297" s="49">
        <v>0</v>
      </c>
      <c r="BK297" s="50">
        <v>0</v>
      </c>
      <c r="BL297" s="49">
        <v>29</v>
      </c>
      <c r="BM297" s="50">
        <v>100</v>
      </c>
      <c r="BN297" s="49">
        <v>29</v>
      </c>
    </row>
    <row r="298" spans="1:66" ht="15">
      <c r="A298" s="65" t="s">
        <v>309</v>
      </c>
      <c r="B298" s="65" t="s">
        <v>469</v>
      </c>
      <c r="C298" s="66" t="s">
        <v>5817</v>
      </c>
      <c r="D298" s="67">
        <v>1</v>
      </c>
      <c r="E298" s="68" t="s">
        <v>132</v>
      </c>
      <c r="F298" s="69">
        <v>32</v>
      </c>
      <c r="G298" s="66" t="s">
        <v>51</v>
      </c>
      <c r="H298" s="70"/>
      <c r="I298" s="71"/>
      <c r="J298" s="71"/>
      <c r="K298" s="35" t="s">
        <v>65</v>
      </c>
      <c r="L298" s="79">
        <v>298</v>
      </c>
      <c r="M298" s="79"/>
      <c r="N298" s="73"/>
      <c r="O298" s="90" t="s">
        <v>523</v>
      </c>
      <c r="P298" s="93">
        <v>44531.352627314816</v>
      </c>
      <c r="Q298" s="90" t="s">
        <v>619</v>
      </c>
      <c r="R298" s="90"/>
      <c r="S298" s="90"/>
      <c r="T298" s="90"/>
      <c r="U298" s="90"/>
      <c r="V298" s="96" t="str">
        <f>HYPERLINK("https://pbs.twimg.com/profile_images/596055001744609281/cBb206Aw_normal.jpg")</f>
        <v>https://pbs.twimg.com/profile_images/596055001744609281/cBb206Aw_normal.jpg</v>
      </c>
      <c r="W298" s="93">
        <v>44531.352627314816</v>
      </c>
      <c r="X298" s="100">
        <v>44531</v>
      </c>
      <c r="Y298" s="97" t="s">
        <v>846</v>
      </c>
      <c r="Z298" s="96" t="str">
        <f>HYPERLINK("https://twitter.com/nenuhnet/status/1465960809910128642")</f>
        <v>https://twitter.com/nenuhnet/status/1465960809910128642</v>
      </c>
      <c r="AA298" s="90"/>
      <c r="AB298" s="90"/>
      <c r="AC298" s="97" t="s">
        <v>1098</v>
      </c>
      <c r="AD298" s="97" t="s">
        <v>1284</v>
      </c>
      <c r="AE298" s="90" t="b">
        <v>0</v>
      </c>
      <c r="AF298" s="90">
        <v>0</v>
      </c>
      <c r="AG298" s="97" t="s">
        <v>1399</v>
      </c>
      <c r="AH298" s="90" t="b">
        <v>0</v>
      </c>
      <c r="AI298" s="90" t="s">
        <v>1442</v>
      </c>
      <c r="AJ298" s="90"/>
      <c r="AK298" s="97" t="s">
        <v>1338</v>
      </c>
      <c r="AL298" s="90" t="b">
        <v>0</v>
      </c>
      <c r="AM298" s="90">
        <v>0</v>
      </c>
      <c r="AN298" s="97" t="s">
        <v>1338</v>
      </c>
      <c r="AO298" s="97" t="s">
        <v>1452</v>
      </c>
      <c r="AP298" s="90" t="b">
        <v>0</v>
      </c>
      <c r="AQ298" s="97" t="s">
        <v>1284</v>
      </c>
      <c r="AR298" s="90" t="s">
        <v>187</v>
      </c>
      <c r="AS298" s="90">
        <v>0</v>
      </c>
      <c r="AT298" s="90">
        <v>0</v>
      </c>
      <c r="AU298" s="90"/>
      <c r="AV298" s="90"/>
      <c r="AW298" s="90"/>
      <c r="AX298" s="90"/>
      <c r="AY298" s="90"/>
      <c r="AZ298" s="90"/>
      <c r="BA298" s="90"/>
      <c r="BB298" s="90"/>
      <c r="BC298">
        <v>1</v>
      </c>
      <c r="BD298" s="89" t="str">
        <f>REPLACE(INDEX(GroupVertices[Group],MATCH(Edges[[#This Row],[Vertex 1]],GroupVertices[Vertex],0)),1,1,"")</f>
        <v>24</v>
      </c>
      <c r="BE298" s="89" t="str">
        <f>REPLACE(INDEX(GroupVertices[Group],MATCH(Edges[[#This Row],[Vertex 2]],GroupVertices[Vertex],0)),1,1,"")</f>
        <v>24</v>
      </c>
      <c r="BF298" s="49">
        <v>0</v>
      </c>
      <c r="BG298" s="50">
        <v>0</v>
      </c>
      <c r="BH298" s="49">
        <v>0</v>
      </c>
      <c r="BI298" s="50">
        <v>0</v>
      </c>
      <c r="BJ298" s="49">
        <v>0</v>
      </c>
      <c r="BK298" s="50">
        <v>0</v>
      </c>
      <c r="BL298" s="49">
        <v>6</v>
      </c>
      <c r="BM298" s="50">
        <v>100</v>
      </c>
      <c r="BN298" s="49">
        <v>6</v>
      </c>
    </row>
    <row r="299" spans="1:66" ht="15">
      <c r="A299" s="65" t="s">
        <v>310</v>
      </c>
      <c r="B299" s="65" t="s">
        <v>458</v>
      </c>
      <c r="C299" s="66" t="s">
        <v>5817</v>
      </c>
      <c r="D299" s="67">
        <v>1</v>
      </c>
      <c r="E299" s="68" t="s">
        <v>132</v>
      </c>
      <c r="F299" s="69">
        <v>32</v>
      </c>
      <c r="G299" s="66" t="s">
        <v>51</v>
      </c>
      <c r="H299" s="70"/>
      <c r="I299" s="71"/>
      <c r="J299" s="71"/>
      <c r="K299" s="35" t="s">
        <v>65</v>
      </c>
      <c r="L299" s="79">
        <v>299</v>
      </c>
      <c r="M299" s="79"/>
      <c r="N299" s="73"/>
      <c r="O299" s="90" t="s">
        <v>524</v>
      </c>
      <c r="P299" s="93">
        <v>44531.36311342593</v>
      </c>
      <c r="Q299" s="90" t="s">
        <v>620</v>
      </c>
      <c r="R299" s="90"/>
      <c r="S299" s="90"/>
      <c r="T299" s="90"/>
      <c r="U299" s="90"/>
      <c r="V299" s="96" t="str">
        <f>HYPERLINK("https://pbs.twimg.com/profile_images/1281598875074256896/3A3nGgdX_normal.jpg")</f>
        <v>https://pbs.twimg.com/profile_images/1281598875074256896/3A3nGgdX_normal.jpg</v>
      </c>
      <c r="W299" s="93">
        <v>44531.36311342593</v>
      </c>
      <c r="X299" s="100">
        <v>44531</v>
      </c>
      <c r="Y299" s="97" t="s">
        <v>847</v>
      </c>
      <c r="Z299" s="96" t="str">
        <f>HYPERLINK("https://twitter.com/thatbonsaipanda/status/1465964609173696519")</f>
        <v>https://twitter.com/thatbonsaipanda/status/1465964609173696519</v>
      </c>
      <c r="AA299" s="90"/>
      <c r="AB299" s="90"/>
      <c r="AC299" s="97" t="s">
        <v>1099</v>
      </c>
      <c r="AD299" s="97" t="s">
        <v>1209</v>
      </c>
      <c r="AE299" s="90" t="b">
        <v>0</v>
      </c>
      <c r="AF299" s="90">
        <v>2</v>
      </c>
      <c r="AG299" s="97" t="s">
        <v>1400</v>
      </c>
      <c r="AH299" s="90" t="b">
        <v>0</v>
      </c>
      <c r="AI299" s="90" t="s">
        <v>1442</v>
      </c>
      <c r="AJ299" s="90"/>
      <c r="AK299" s="97" t="s">
        <v>1338</v>
      </c>
      <c r="AL299" s="90" t="b">
        <v>0</v>
      </c>
      <c r="AM299" s="90">
        <v>0</v>
      </c>
      <c r="AN299" s="97" t="s">
        <v>1338</v>
      </c>
      <c r="AO299" s="97" t="s">
        <v>1450</v>
      </c>
      <c r="AP299" s="90" t="b">
        <v>0</v>
      </c>
      <c r="AQ299" s="97" t="s">
        <v>1209</v>
      </c>
      <c r="AR299" s="90" t="s">
        <v>187</v>
      </c>
      <c r="AS299" s="90">
        <v>0</v>
      </c>
      <c r="AT299" s="90">
        <v>0</v>
      </c>
      <c r="AU299" s="90"/>
      <c r="AV299" s="90"/>
      <c r="AW299" s="90"/>
      <c r="AX299" s="90"/>
      <c r="AY299" s="90"/>
      <c r="AZ299" s="90"/>
      <c r="BA299" s="90"/>
      <c r="BB299" s="90"/>
      <c r="BC299">
        <v>1</v>
      </c>
      <c r="BD299" s="89" t="str">
        <f>REPLACE(INDEX(GroupVertices[Group],MATCH(Edges[[#This Row],[Vertex 1]],GroupVertices[Vertex],0)),1,1,"")</f>
        <v>2</v>
      </c>
      <c r="BE299" s="89" t="str">
        <f>REPLACE(INDEX(GroupVertices[Group],MATCH(Edges[[#This Row],[Vertex 2]],GroupVertices[Vertex],0)),1,1,"")</f>
        <v>2</v>
      </c>
      <c r="BF299" s="49"/>
      <c r="BG299" s="50"/>
      <c r="BH299" s="49"/>
      <c r="BI299" s="50"/>
      <c r="BJ299" s="49"/>
      <c r="BK299" s="50"/>
      <c r="BL299" s="49"/>
      <c r="BM299" s="50"/>
      <c r="BN299" s="49"/>
    </row>
    <row r="300" spans="1:66" ht="15">
      <c r="A300" s="65" t="s">
        <v>310</v>
      </c>
      <c r="B300" s="65" t="s">
        <v>459</v>
      </c>
      <c r="C300" s="66" t="s">
        <v>5817</v>
      </c>
      <c r="D300" s="67">
        <v>1</v>
      </c>
      <c r="E300" s="68" t="s">
        <v>132</v>
      </c>
      <c r="F300" s="69">
        <v>32</v>
      </c>
      <c r="G300" s="66" t="s">
        <v>51</v>
      </c>
      <c r="H300" s="70"/>
      <c r="I300" s="71"/>
      <c r="J300" s="71"/>
      <c r="K300" s="35" t="s">
        <v>65</v>
      </c>
      <c r="L300" s="79">
        <v>300</v>
      </c>
      <c r="M300" s="79"/>
      <c r="N300" s="73"/>
      <c r="O300" s="90" t="s">
        <v>524</v>
      </c>
      <c r="P300" s="93">
        <v>44531.36311342593</v>
      </c>
      <c r="Q300" s="90" t="s">
        <v>620</v>
      </c>
      <c r="R300" s="90"/>
      <c r="S300" s="90"/>
      <c r="T300" s="90"/>
      <c r="U300" s="90"/>
      <c r="V300" s="96" t="str">
        <f>HYPERLINK("https://pbs.twimg.com/profile_images/1281598875074256896/3A3nGgdX_normal.jpg")</f>
        <v>https://pbs.twimg.com/profile_images/1281598875074256896/3A3nGgdX_normal.jpg</v>
      </c>
      <c r="W300" s="93">
        <v>44531.36311342593</v>
      </c>
      <c r="X300" s="100">
        <v>44531</v>
      </c>
      <c r="Y300" s="97" t="s">
        <v>847</v>
      </c>
      <c r="Z300" s="96" t="str">
        <f>HYPERLINK("https://twitter.com/thatbonsaipanda/status/1465964609173696519")</f>
        <v>https://twitter.com/thatbonsaipanda/status/1465964609173696519</v>
      </c>
      <c r="AA300" s="90"/>
      <c r="AB300" s="90"/>
      <c r="AC300" s="97" t="s">
        <v>1099</v>
      </c>
      <c r="AD300" s="97" t="s">
        <v>1209</v>
      </c>
      <c r="AE300" s="90" t="b">
        <v>0</v>
      </c>
      <c r="AF300" s="90">
        <v>2</v>
      </c>
      <c r="AG300" s="97" t="s">
        <v>1400</v>
      </c>
      <c r="AH300" s="90" t="b">
        <v>0</v>
      </c>
      <c r="AI300" s="90" t="s">
        <v>1442</v>
      </c>
      <c r="AJ300" s="90"/>
      <c r="AK300" s="97" t="s">
        <v>1338</v>
      </c>
      <c r="AL300" s="90" t="b">
        <v>0</v>
      </c>
      <c r="AM300" s="90">
        <v>0</v>
      </c>
      <c r="AN300" s="97" t="s">
        <v>1338</v>
      </c>
      <c r="AO300" s="97" t="s">
        <v>1450</v>
      </c>
      <c r="AP300" s="90" t="b">
        <v>0</v>
      </c>
      <c r="AQ300" s="97" t="s">
        <v>1209</v>
      </c>
      <c r="AR300" s="90" t="s">
        <v>187</v>
      </c>
      <c r="AS300" s="90">
        <v>0</v>
      </c>
      <c r="AT300" s="90">
        <v>0</v>
      </c>
      <c r="AU300" s="90"/>
      <c r="AV300" s="90"/>
      <c r="AW300" s="90"/>
      <c r="AX300" s="90"/>
      <c r="AY300" s="90"/>
      <c r="AZ300" s="90"/>
      <c r="BA300" s="90"/>
      <c r="BB300" s="90"/>
      <c r="BC300">
        <v>1</v>
      </c>
      <c r="BD300" s="89" t="str">
        <f>REPLACE(INDEX(GroupVertices[Group],MATCH(Edges[[#This Row],[Vertex 1]],GroupVertices[Vertex],0)),1,1,"")</f>
        <v>2</v>
      </c>
      <c r="BE300" s="89" t="str">
        <f>REPLACE(INDEX(GroupVertices[Group],MATCH(Edges[[#This Row],[Vertex 2]],GroupVertices[Vertex],0)),1,1,"")</f>
        <v>2</v>
      </c>
      <c r="BF300" s="49"/>
      <c r="BG300" s="50"/>
      <c r="BH300" s="49"/>
      <c r="BI300" s="50"/>
      <c r="BJ300" s="49"/>
      <c r="BK300" s="50"/>
      <c r="BL300" s="49"/>
      <c r="BM300" s="50"/>
      <c r="BN300" s="49"/>
    </row>
    <row r="301" spans="1:66" ht="15">
      <c r="A301" s="65" t="s">
        <v>310</v>
      </c>
      <c r="B301" s="65" t="s">
        <v>372</v>
      </c>
      <c r="C301" s="66" t="s">
        <v>5817</v>
      </c>
      <c r="D301" s="67">
        <v>1</v>
      </c>
      <c r="E301" s="68" t="s">
        <v>132</v>
      </c>
      <c r="F301" s="69">
        <v>32</v>
      </c>
      <c r="G301" s="66" t="s">
        <v>51</v>
      </c>
      <c r="H301" s="70"/>
      <c r="I301" s="71"/>
      <c r="J301" s="71"/>
      <c r="K301" s="35" t="s">
        <v>65</v>
      </c>
      <c r="L301" s="79">
        <v>301</v>
      </c>
      <c r="M301" s="79"/>
      <c r="N301" s="73"/>
      <c r="O301" s="90" t="s">
        <v>523</v>
      </c>
      <c r="P301" s="93">
        <v>44531.36311342593</v>
      </c>
      <c r="Q301" s="90" t="s">
        <v>620</v>
      </c>
      <c r="R301" s="90"/>
      <c r="S301" s="90"/>
      <c r="T301" s="90"/>
      <c r="U301" s="90"/>
      <c r="V301" s="96" t="str">
        <f>HYPERLINK("https://pbs.twimg.com/profile_images/1281598875074256896/3A3nGgdX_normal.jpg")</f>
        <v>https://pbs.twimg.com/profile_images/1281598875074256896/3A3nGgdX_normal.jpg</v>
      </c>
      <c r="W301" s="93">
        <v>44531.36311342593</v>
      </c>
      <c r="X301" s="100">
        <v>44531</v>
      </c>
      <c r="Y301" s="97" t="s">
        <v>847</v>
      </c>
      <c r="Z301" s="96" t="str">
        <f>HYPERLINK("https://twitter.com/thatbonsaipanda/status/1465964609173696519")</f>
        <v>https://twitter.com/thatbonsaipanda/status/1465964609173696519</v>
      </c>
      <c r="AA301" s="90"/>
      <c r="AB301" s="90"/>
      <c r="AC301" s="97" t="s">
        <v>1099</v>
      </c>
      <c r="AD301" s="97" t="s">
        <v>1209</v>
      </c>
      <c r="AE301" s="90" t="b">
        <v>0</v>
      </c>
      <c r="AF301" s="90">
        <v>2</v>
      </c>
      <c r="AG301" s="97" t="s">
        <v>1400</v>
      </c>
      <c r="AH301" s="90" t="b">
        <v>0</v>
      </c>
      <c r="AI301" s="90" t="s">
        <v>1442</v>
      </c>
      <c r="AJ301" s="90"/>
      <c r="AK301" s="97" t="s">
        <v>1338</v>
      </c>
      <c r="AL301" s="90" t="b">
        <v>0</v>
      </c>
      <c r="AM301" s="90">
        <v>0</v>
      </c>
      <c r="AN301" s="97" t="s">
        <v>1338</v>
      </c>
      <c r="AO301" s="97" t="s">
        <v>1450</v>
      </c>
      <c r="AP301" s="90" t="b">
        <v>0</v>
      </c>
      <c r="AQ301" s="97" t="s">
        <v>1209</v>
      </c>
      <c r="AR301" s="90" t="s">
        <v>187</v>
      </c>
      <c r="AS301" s="90">
        <v>0</v>
      </c>
      <c r="AT301" s="90">
        <v>0</v>
      </c>
      <c r="AU301" s="90"/>
      <c r="AV301" s="90"/>
      <c r="AW301" s="90"/>
      <c r="AX301" s="90"/>
      <c r="AY301" s="90"/>
      <c r="AZ301" s="90"/>
      <c r="BA301" s="90"/>
      <c r="BB301" s="90"/>
      <c r="BC301">
        <v>1</v>
      </c>
      <c r="BD301" s="89" t="str">
        <f>REPLACE(INDEX(GroupVertices[Group],MATCH(Edges[[#This Row],[Vertex 1]],GroupVertices[Vertex],0)),1,1,"")</f>
        <v>2</v>
      </c>
      <c r="BE301" s="89" t="str">
        <f>REPLACE(INDEX(GroupVertices[Group],MATCH(Edges[[#This Row],[Vertex 2]],GroupVertices[Vertex],0)),1,1,"")</f>
        <v>2</v>
      </c>
      <c r="BF301" s="49">
        <v>0</v>
      </c>
      <c r="BG301" s="50">
        <v>0</v>
      </c>
      <c r="BH301" s="49">
        <v>0</v>
      </c>
      <c r="BI301" s="50">
        <v>0</v>
      </c>
      <c r="BJ301" s="49">
        <v>0</v>
      </c>
      <c r="BK301" s="50">
        <v>0</v>
      </c>
      <c r="BL301" s="49">
        <v>38</v>
      </c>
      <c r="BM301" s="50">
        <v>100</v>
      </c>
      <c r="BN301" s="49">
        <v>38</v>
      </c>
    </row>
    <row r="302" spans="1:66" ht="15">
      <c r="A302" s="65" t="s">
        <v>311</v>
      </c>
      <c r="B302" s="65" t="s">
        <v>457</v>
      </c>
      <c r="C302" s="66" t="s">
        <v>5817</v>
      </c>
      <c r="D302" s="67">
        <v>1</v>
      </c>
      <c r="E302" s="68" t="s">
        <v>132</v>
      </c>
      <c r="F302" s="69">
        <v>32</v>
      </c>
      <c r="G302" s="66" t="s">
        <v>51</v>
      </c>
      <c r="H302" s="70"/>
      <c r="I302" s="71"/>
      <c r="J302" s="71"/>
      <c r="K302" s="35" t="s">
        <v>65</v>
      </c>
      <c r="L302" s="79">
        <v>302</v>
      </c>
      <c r="M302" s="79"/>
      <c r="N302" s="73"/>
      <c r="O302" s="90" t="s">
        <v>524</v>
      </c>
      <c r="P302" s="93">
        <v>44531.38612268519</v>
      </c>
      <c r="Q302" s="90" t="s">
        <v>621</v>
      </c>
      <c r="R302" s="90"/>
      <c r="S302" s="90"/>
      <c r="T302" s="90"/>
      <c r="U302" s="90"/>
      <c r="V302" s="96" t="str">
        <f>HYPERLINK("https://abs.twimg.com/sticky/default_profile_images/default_profile_normal.png")</f>
        <v>https://abs.twimg.com/sticky/default_profile_images/default_profile_normal.png</v>
      </c>
      <c r="W302" s="93">
        <v>44531.38612268519</v>
      </c>
      <c r="X302" s="100">
        <v>44531</v>
      </c>
      <c r="Y302" s="97" t="s">
        <v>848</v>
      </c>
      <c r="Z302" s="96" t="str">
        <f>HYPERLINK("https://twitter.com/mikkojokela4/status/1465972947986923523")</f>
        <v>https://twitter.com/mikkojokela4/status/1465972947986923523</v>
      </c>
      <c r="AA302" s="90"/>
      <c r="AB302" s="90"/>
      <c r="AC302" s="97" t="s">
        <v>1100</v>
      </c>
      <c r="AD302" s="97" t="s">
        <v>1285</v>
      </c>
      <c r="AE302" s="90" t="b">
        <v>0</v>
      </c>
      <c r="AF302" s="90">
        <v>0</v>
      </c>
      <c r="AG302" s="97" t="s">
        <v>1401</v>
      </c>
      <c r="AH302" s="90" t="b">
        <v>0</v>
      </c>
      <c r="AI302" s="90" t="s">
        <v>1442</v>
      </c>
      <c r="AJ302" s="90"/>
      <c r="AK302" s="97" t="s">
        <v>1338</v>
      </c>
      <c r="AL302" s="90" t="b">
        <v>0</v>
      </c>
      <c r="AM302" s="90">
        <v>0</v>
      </c>
      <c r="AN302" s="97" t="s">
        <v>1338</v>
      </c>
      <c r="AO302" s="97" t="s">
        <v>1453</v>
      </c>
      <c r="AP302" s="90" t="b">
        <v>0</v>
      </c>
      <c r="AQ302" s="97" t="s">
        <v>1285</v>
      </c>
      <c r="AR302" s="90" t="s">
        <v>187</v>
      </c>
      <c r="AS302" s="90">
        <v>0</v>
      </c>
      <c r="AT302" s="90">
        <v>0</v>
      </c>
      <c r="AU302" s="90"/>
      <c r="AV302" s="90"/>
      <c r="AW302" s="90"/>
      <c r="AX302" s="90"/>
      <c r="AY302" s="90"/>
      <c r="AZ302" s="90"/>
      <c r="BA302" s="90"/>
      <c r="BB302" s="90"/>
      <c r="BC302">
        <v>1</v>
      </c>
      <c r="BD302" s="89" t="str">
        <f>REPLACE(INDEX(GroupVertices[Group],MATCH(Edges[[#This Row],[Vertex 1]],GroupVertices[Vertex],0)),1,1,"")</f>
        <v>4</v>
      </c>
      <c r="BE302" s="89" t="str">
        <f>REPLACE(INDEX(GroupVertices[Group],MATCH(Edges[[#This Row],[Vertex 2]],GroupVertices[Vertex],0)),1,1,"")</f>
        <v>4</v>
      </c>
      <c r="BF302" s="49"/>
      <c r="BG302" s="50"/>
      <c r="BH302" s="49"/>
      <c r="BI302" s="50"/>
      <c r="BJ302" s="49"/>
      <c r="BK302" s="50"/>
      <c r="BL302" s="49"/>
      <c r="BM302" s="50"/>
      <c r="BN302" s="49"/>
    </row>
    <row r="303" spans="1:66" ht="15">
      <c r="A303" s="65" t="s">
        <v>311</v>
      </c>
      <c r="B303" s="65" t="s">
        <v>470</v>
      </c>
      <c r="C303" s="66" t="s">
        <v>5817</v>
      </c>
      <c r="D303" s="67">
        <v>1</v>
      </c>
      <c r="E303" s="68" t="s">
        <v>132</v>
      </c>
      <c r="F303" s="69">
        <v>32</v>
      </c>
      <c r="G303" s="66" t="s">
        <v>51</v>
      </c>
      <c r="H303" s="70"/>
      <c r="I303" s="71"/>
      <c r="J303" s="71"/>
      <c r="K303" s="35" t="s">
        <v>65</v>
      </c>
      <c r="L303" s="79">
        <v>303</v>
      </c>
      <c r="M303" s="79"/>
      <c r="N303" s="73"/>
      <c r="O303" s="90" t="s">
        <v>523</v>
      </c>
      <c r="P303" s="93">
        <v>44531.38612268519</v>
      </c>
      <c r="Q303" s="90" t="s">
        <v>621</v>
      </c>
      <c r="R303" s="90"/>
      <c r="S303" s="90"/>
      <c r="T303" s="90"/>
      <c r="U303" s="90"/>
      <c r="V303" s="96" t="str">
        <f>HYPERLINK("https://abs.twimg.com/sticky/default_profile_images/default_profile_normal.png")</f>
        <v>https://abs.twimg.com/sticky/default_profile_images/default_profile_normal.png</v>
      </c>
      <c r="W303" s="93">
        <v>44531.38612268519</v>
      </c>
      <c r="X303" s="100">
        <v>44531</v>
      </c>
      <c r="Y303" s="97" t="s">
        <v>848</v>
      </c>
      <c r="Z303" s="96" t="str">
        <f>HYPERLINK("https://twitter.com/mikkojokela4/status/1465972947986923523")</f>
        <v>https://twitter.com/mikkojokela4/status/1465972947986923523</v>
      </c>
      <c r="AA303" s="90"/>
      <c r="AB303" s="90"/>
      <c r="AC303" s="97" t="s">
        <v>1100</v>
      </c>
      <c r="AD303" s="97" t="s">
        <v>1285</v>
      </c>
      <c r="AE303" s="90" t="b">
        <v>0</v>
      </c>
      <c r="AF303" s="90">
        <v>0</v>
      </c>
      <c r="AG303" s="97" t="s">
        <v>1401</v>
      </c>
      <c r="AH303" s="90" t="b">
        <v>0</v>
      </c>
      <c r="AI303" s="90" t="s">
        <v>1442</v>
      </c>
      <c r="AJ303" s="90"/>
      <c r="AK303" s="97" t="s">
        <v>1338</v>
      </c>
      <c r="AL303" s="90" t="b">
        <v>0</v>
      </c>
      <c r="AM303" s="90">
        <v>0</v>
      </c>
      <c r="AN303" s="97" t="s">
        <v>1338</v>
      </c>
      <c r="AO303" s="97" t="s">
        <v>1453</v>
      </c>
      <c r="AP303" s="90" t="b">
        <v>0</v>
      </c>
      <c r="AQ303" s="97" t="s">
        <v>1285</v>
      </c>
      <c r="AR303" s="90" t="s">
        <v>187</v>
      </c>
      <c r="AS303" s="90">
        <v>0</v>
      </c>
      <c r="AT303" s="90">
        <v>0</v>
      </c>
      <c r="AU303" s="90"/>
      <c r="AV303" s="90"/>
      <c r="AW303" s="90"/>
      <c r="AX303" s="90"/>
      <c r="AY303" s="90"/>
      <c r="AZ303" s="90"/>
      <c r="BA303" s="90"/>
      <c r="BB303" s="90"/>
      <c r="BC303">
        <v>1</v>
      </c>
      <c r="BD303" s="89" t="str">
        <f>REPLACE(INDEX(GroupVertices[Group],MATCH(Edges[[#This Row],[Vertex 1]],GroupVertices[Vertex],0)),1,1,"")</f>
        <v>4</v>
      </c>
      <c r="BE303" s="89" t="str">
        <f>REPLACE(INDEX(GroupVertices[Group],MATCH(Edges[[#This Row],[Vertex 2]],GroupVertices[Vertex],0)),1,1,"")</f>
        <v>4</v>
      </c>
      <c r="BF303" s="49">
        <v>0</v>
      </c>
      <c r="BG303" s="50">
        <v>0</v>
      </c>
      <c r="BH303" s="49">
        <v>0</v>
      </c>
      <c r="BI303" s="50">
        <v>0</v>
      </c>
      <c r="BJ303" s="49">
        <v>0</v>
      </c>
      <c r="BK303" s="50">
        <v>0</v>
      </c>
      <c r="BL303" s="49">
        <v>29</v>
      </c>
      <c r="BM303" s="50">
        <v>100</v>
      </c>
      <c r="BN303" s="49">
        <v>29</v>
      </c>
    </row>
    <row r="304" spans="1:66" ht="15">
      <c r="A304" s="65" t="s">
        <v>312</v>
      </c>
      <c r="B304" s="65" t="s">
        <v>430</v>
      </c>
      <c r="C304" s="66" t="s">
        <v>5817</v>
      </c>
      <c r="D304" s="67">
        <v>1</v>
      </c>
      <c r="E304" s="68" t="s">
        <v>132</v>
      </c>
      <c r="F304" s="69">
        <v>32</v>
      </c>
      <c r="G304" s="66" t="s">
        <v>51</v>
      </c>
      <c r="H304" s="70"/>
      <c r="I304" s="71"/>
      <c r="J304" s="71"/>
      <c r="K304" s="35" t="s">
        <v>65</v>
      </c>
      <c r="L304" s="79">
        <v>304</v>
      </c>
      <c r="M304" s="79"/>
      <c r="N304" s="73"/>
      <c r="O304" s="90" t="s">
        <v>525</v>
      </c>
      <c r="P304" s="93">
        <v>44531.39508101852</v>
      </c>
      <c r="Q304" s="90" t="s">
        <v>576</v>
      </c>
      <c r="R304" s="90"/>
      <c r="S304" s="90"/>
      <c r="T304" s="97" t="s">
        <v>712</v>
      </c>
      <c r="U304" s="96" t="str">
        <f>HYPERLINK("https://pbs.twimg.com/media/FFc5qVTVQAkWXE2.jpg")</f>
        <v>https://pbs.twimg.com/media/FFc5qVTVQAkWXE2.jpg</v>
      </c>
      <c r="V304" s="96" t="str">
        <f>HYPERLINK("https://pbs.twimg.com/media/FFc5qVTVQAkWXE2.jpg")</f>
        <v>https://pbs.twimg.com/media/FFc5qVTVQAkWXE2.jpg</v>
      </c>
      <c r="W304" s="93">
        <v>44531.39508101852</v>
      </c>
      <c r="X304" s="100">
        <v>44531</v>
      </c>
      <c r="Y304" s="97" t="s">
        <v>849</v>
      </c>
      <c r="Z304" s="96" t="str">
        <f>HYPERLINK("https://twitter.com/lundeee/status/1465976191756738563")</f>
        <v>https://twitter.com/lundeee/status/1465976191756738563</v>
      </c>
      <c r="AA304" s="90"/>
      <c r="AB304" s="90"/>
      <c r="AC304" s="97" t="s">
        <v>1101</v>
      </c>
      <c r="AD304" s="90"/>
      <c r="AE304" s="90" t="b">
        <v>0</v>
      </c>
      <c r="AF304" s="90">
        <v>0</v>
      </c>
      <c r="AG304" s="97" t="s">
        <v>1338</v>
      </c>
      <c r="AH304" s="90" t="b">
        <v>0</v>
      </c>
      <c r="AI304" s="90" t="s">
        <v>1442</v>
      </c>
      <c r="AJ304" s="90"/>
      <c r="AK304" s="97" t="s">
        <v>1338</v>
      </c>
      <c r="AL304" s="90" t="b">
        <v>0</v>
      </c>
      <c r="AM304" s="90">
        <v>18</v>
      </c>
      <c r="AN304" s="97" t="s">
        <v>1196</v>
      </c>
      <c r="AO304" s="97" t="s">
        <v>1451</v>
      </c>
      <c r="AP304" s="90" t="b">
        <v>0</v>
      </c>
      <c r="AQ304" s="97" t="s">
        <v>1196</v>
      </c>
      <c r="AR304" s="90" t="s">
        <v>187</v>
      </c>
      <c r="AS304" s="90">
        <v>0</v>
      </c>
      <c r="AT304" s="90">
        <v>0</v>
      </c>
      <c r="AU304" s="90"/>
      <c r="AV304" s="90"/>
      <c r="AW304" s="90"/>
      <c r="AX304" s="90"/>
      <c r="AY304" s="90"/>
      <c r="AZ304" s="90"/>
      <c r="BA304" s="90"/>
      <c r="BB304" s="90"/>
      <c r="BC304">
        <v>1</v>
      </c>
      <c r="BD304" s="89" t="str">
        <f>REPLACE(INDEX(GroupVertices[Group],MATCH(Edges[[#This Row],[Vertex 1]],GroupVertices[Vertex],0)),1,1,"")</f>
        <v>3</v>
      </c>
      <c r="BE304" s="89" t="str">
        <f>REPLACE(INDEX(GroupVertices[Group],MATCH(Edges[[#This Row],[Vertex 2]],GroupVertices[Vertex],0)),1,1,"")</f>
        <v>3</v>
      </c>
      <c r="BF304" s="49"/>
      <c r="BG304" s="50"/>
      <c r="BH304" s="49"/>
      <c r="BI304" s="50"/>
      <c r="BJ304" s="49"/>
      <c r="BK304" s="50"/>
      <c r="BL304" s="49"/>
      <c r="BM304" s="50"/>
      <c r="BN304" s="49"/>
    </row>
    <row r="305" spans="1:66" ht="15">
      <c r="A305" s="65" t="s">
        <v>312</v>
      </c>
      <c r="B305" s="65" t="s">
        <v>431</v>
      </c>
      <c r="C305" s="66" t="s">
        <v>5817</v>
      </c>
      <c r="D305" s="67">
        <v>1</v>
      </c>
      <c r="E305" s="68" t="s">
        <v>132</v>
      </c>
      <c r="F305" s="69">
        <v>32</v>
      </c>
      <c r="G305" s="66" t="s">
        <v>51</v>
      </c>
      <c r="H305" s="70"/>
      <c r="I305" s="71"/>
      <c r="J305" s="71"/>
      <c r="K305" s="35" t="s">
        <v>65</v>
      </c>
      <c r="L305" s="79">
        <v>305</v>
      </c>
      <c r="M305" s="79"/>
      <c r="N305" s="73"/>
      <c r="O305" s="90" t="s">
        <v>525</v>
      </c>
      <c r="P305" s="93">
        <v>44531.39508101852</v>
      </c>
      <c r="Q305" s="90" t="s">
        <v>576</v>
      </c>
      <c r="R305" s="90"/>
      <c r="S305" s="90"/>
      <c r="T305" s="97" t="s">
        <v>712</v>
      </c>
      <c r="U305" s="96" t="str">
        <f>HYPERLINK("https://pbs.twimg.com/media/FFc5qVTVQAkWXE2.jpg")</f>
        <v>https://pbs.twimg.com/media/FFc5qVTVQAkWXE2.jpg</v>
      </c>
      <c r="V305" s="96" t="str">
        <f>HYPERLINK("https://pbs.twimg.com/media/FFc5qVTVQAkWXE2.jpg")</f>
        <v>https://pbs.twimg.com/media/FFc5qVTVQAkWXE2.jpg</v>
      </c>
      <c r="W305" s="93">
        <v>44531.39508101852</v>
      </c>
      <c r="X305" s="100">
        <v>44531</v>
      </c>
      <c r="Y305" s="97" t="s">
        <v>849</v>
      </c>
      <c r="Z305" s="96" t="str">
        <f>HYPERLINK("https://twitter.com/lundeee/status/1465976191756738563")</f>
        <v>https://twitter.com/lundeee/status/1465976191756738563</v>
      </c>
      <c r="AA305" s="90"/>
      <c r="AB305" s="90"/>
      <c r="AC305" s="97" t="s">
        <v>1101</v>
      </c>
      <c r="AD305" s="90"/>
      <c r="AE305" s="90" t="b">
        <v>0</v>
      </c>
      <c r="AF305" s="90">
        <v>0</v>
      </c>
      <c r="AG305" s="97" t="s">
        <v>1338</v>
      </c>
      <c r="AH305" s="90" t="b">
        <v>0</v>
      </c>
      <c r="AI305" s="90" t="s">
        <v>1442</v>
      </c>
      <c r="AJ305" s="90"/>
      <c r="AK305" s="97" t="s">
        <v>1338</v>
      </c>
      <c r="AL305" s="90" t="b">
        <v>0</v>
      </c>
      <c r="AM305" s="90">
        <v>18</v>
      </c>
      <c r="AN305" s="97" t="s">
        <v>1196</v>
      </c>
      <c r="AO305" s="97" t="s">
        <v>1451</v>
      </c>
      <c r="AP305" s="90" t="b">
        <v>0</v>
      </c>
      <c r="AQ305" s="97" t="s">
        <v>1196</v>
      </c>
      <c r="AR305" s="90" t="s">
        <v>187</v>
      </c>
      <c r="AS305" s="90">
        <v>0</v>
      </c>
      <c r="AT305" s="90">
        <v>0</v>
      </c>
      <c r="AU305" s="90"/>
      <c r="AV305" s="90"/>
      <c r="AW305" s="90"/>
      <c r="AX305" s="90"/>
      <c r="AY305" s="90"/>
      <c r="AZ305" s="90"/>
      <c r="BA305" s="90"/>
      <c r="BB305" s="90"/>
      <c r="BC305">
        <v>1</v>
      </c>
      <c r="BD305" s="89" t="str">
        <f>REPLACE(INDEX(GroupVertices[Group],MATCH(Edges[[#This Row],[Vertex 1]],GroupVertices[Vertex],0)),1,1,"")</f>
        <v>3</v>
      </c>
      <c r="BE305" s="89" t="str">
        <f>REPLACE(INDEX(GroupVertices[Group],MATCH(Edges[[#This Row],[Vertex 2]],GroupVertices[Vertex],0)),1,1,"")</f>
        <v>3</v>
      </c>
      <c r="BF305" s="49"/>
      <c r="BG305" s="50"/>
      <c r="BH305" s="49"/>
      <c r="BI305" s="50"/>
      <c r="BJ305" s="49"/>
      <c r="BK305" s="50"/>
      <c r="BL305" s="49"/>
      <c r="BM305" s="50"/>
      <c r="BN305" s="49"/>
    </row>
    <row r="306" spans="1:66" ht="15">
      <c r="A306" s="65" t="s">
        <v>312</v>
      </c>
      <c r="B306" s="65" t="s">
        <v>368</v>
      </c>
      <c r="C306" s="66" t="s">
        <v>5817</v>
      </c>
      <c r="D306" s="67">
        <v>1</v>
      </c>
      <c r="E306" s="68" t="s">
        <v>132</v>
      </c>
      <c r="F306" s="69">
        <v>32</v>
      </c>
      <c r="G306" s="66" t="s">
        <v>51</v>
      </c>
      <c r="H306" s="70"/>
      <c r="I306" s="71"/>
      <c r="J306" s="71"/>
      <c r="K306" s="35" t="s">
        <v>65</v>
      </c>
      <c r="L306" s="79">
        <v>306</v>
      </c>
      <c r="M306" s="79"/>
      <c r="N306" s="73"/>
      <c r="O306" s="90" t="s">
        <v>522</v>
      </c>
      <c r="P306" s="93">
        <v>44531.39508101852</v>
      </c>
      <c r="Q306" s="90" t="s">
        <v>576</v>
      </c>
      <c r="R306" s="90"/>
      <c r="S306" s="90"/>
      <c r="T306" s="97" t="s">
        <v>712</v>
      </c>
      <c r="U306" s="96" t="str">
        <f>HYPERLINK("https://pbs.twimg.com/media/FFc5qVTVQAkWXE2.jpg")</f>
        <v>https://pbs.twimg.com/media/FFc5qVTVQAkWXE2.jpg</v>
      </c>
      <c r="V306" s="96" t="str">
        <f>HYPERLINK("https://pbs.twimg.com/media/FFc5qVTVQAkWXE2.jpg")</f>
        <v>https://pbs.twimg.com/media/FFc5qVTVQAkWXE2.jpg</v>
      </c>
      <c r="W306" s="93">
        <v>44531.39508101852</v>
      </c>
      <c r="X306" s="100">
        <v>44531</v>
      </c>
      <c r="Y306" s="97" t="s">
        <v>849</v>
      </c>
      <c r="Z306" s="96" t="str">
        <f>HYPERLINK("https://twitter.com/lundeee/status/1465976191756738563")</f>
        <v>https://twitter.com/lundeee/status/1465976191756738563</v>
      </c>
      <c r="AA306" s="90"/>
      <c r="AB306" s="90"/>
      <c r="AC306" s="97" t="s">
        <v>1101</v>
      </c>
      <c r="AD306" s="90"/>
      <c r="AE306" s="90" t="b">
        <v>0</v>
      </c>
      <c r="AF306" s="90">
        <v>0</v>
      </c>
      <c r="AG306" s="97" t="s">
        <v>1338</v>
      </c>
      <c r="AH306" s="90" t="b">
        <v>0</v>
      </c>
      <c r="AI306" s="90" t="s">
        <v>1442</v>
      </c>
      <c r="AJ306" s="90"/>
      <c r="AK306" s="97" t="s">
        <v>1338</v>
      </c>
      <c r="AL306" s="90" t="b">
        <v>0</v>
      </c>
      <c r="AM306" s="90">
        <v>18</v>
      </c>
      <c r="AN306" s="97" t="s">
        <v>1196</v>
      </c>
      <c r="AO306" s="97" t="s">
        <v>1451</v>
      </c>
      <c r="AP306" s="90" t="b">
        <v>0</v>
      </c>
      <c r="AQ306" s="97" t="s">
        <v>1196</v>
      </c>
      <c r="AR306" s="90" t="s">
        <v>187</v>
      </c>
      <c r="AS306" s="90">
        <v>0</v>
      </c>
      <c r="AT306" s="90">
        <v>0</v>
      </c>
      <c r="AU306" s="90"/>
      <c r="AV306" s="90"/>
      <c r="AW306" s="90"/>
      <c r="AX306" s="90"/>
      <c r="AY306" s="90"/>
      <c r="AZ306" s="90"/>
      <c r="BA306" s="90"/>
      <c r="BB306" s="90"/>
      <c r="BC306">
        <v>1</v>
      </c>
      <c r="BD306" s="89" t="str">
        <f>REPLACE(INDEX(GroupVertices[Group],MATCH(Edges[[#This Row],[Vertex 1]],GroupVertices[Vertex],0)),1,1,"")</f>
        <v>3</v>
      </c>
      <c r="BE306" s="89" t="str">
        <f>REPLACE(INDEX(GroupVertices[Group],MATCH(Edges[[#This Row],[Vertex 2]],GroupVertices[Vertex],0)),1,1,"")</f>
        <v>3</v>
      </c>
      <c r="BF306" s="49">
        <v>0</v>
      </c>
      <c r="BG306" s="50">
        <v>0</v>
      </c>
      <c r="BH306" s="49">
        <v>0</v>
      </c>
      <c r="BI306" s="50">
        <v>0</v>
      </c>
      <c r="BJ306" s="49">
        <v>0</v>
      </c>
      <c r="BK306" s="50">
        <v>0</v>
      </c>
      <c r="BL306" s="49">
        <v>13</v>
      </c>
      <c r="BM306" s="50">
        <v>100</v>
      </c>
      <c r="BN306" s="49">
        <v>13</v>
      </c>
    </row>
    <row r="307" spans="1:66" ht="15">
      <c r="A307" s="65" t="s">
        <v>313</v>
      </c>
      <c r="B307" s="65" t="s">
        <v>458</v>
      </c>
      <c r="C307" s="66" t="s">
        <v>5817</v>
      </c>
      <c r="D307" s="67">
        <v>1</v>
      </c>
      <c r="E307" s="68" t="s">
        <v>132</v>
      </c>
      <c r="F307" s="69">
        <v>32</v>
      </c>
      <c r="G307" s="66" t="s">
        <v>51</v>
      </c>
      <c r="H307" s="70"/>
      <c r="I307" s="71"/>
      <c r="J307" s="71"/>
      <c r="K307" s="35" t="s">
        <v>65</v>
      </c>
      <c r="L307" s="79">
        <v>307</v>
      </c>
      <c r="M307" s="79"/>
      <c r="N307" s="73"/>
      <c r="O307" s="90" t="s">
        <v>524</v>
      </c>
      <c r="P307" s="93">
        <v>44531.40739583333</v>
      </c>
      <c r="Q307" s="90" t="s">
        <v>622</v>
      </c>
      <c r="R307" s="90"/>
      <c r="S307" s="90"/>
      <c r="T307" s="97" t="s">
        <v>713</v>
      </c>
      <c r="U307" s="90"/>
      <c r="V307" s="96" t="str">
        <f>HYPERLINK("https://pbs.twimg.com/profile_images/1244661543649902596/Jd-d7qQx_normal.jpg")</f>
        <v>https://pbs.twimg.com/profile_images/1244661543649902596/Jd-d7qQx_normal.jpg</v>
      </c>
      <c r="W307" s="93">
        <v>44531.40739583333</v>
      </c>
      <c r="X307" s="100">
        <v>44531</v>
      </c>
      <c r="Y307" s="97" t="s">
        <v>850</v>
      </c>
      <c r="Z307" s="96" t="str">
        <f>HYPERLINK("https://twitter.com/tiedonhalu/status/1465980655897034755")</f>
        <v>https://twitter.com/tiedonhalu/status/1465980655897034755</v>
      </c>
      <c r="AA307" s="90"/>
      <c r="AB307" s="90"/>
      <c r="AC307" s="97" t="s">
        <v>1102</v>
      </c>
      <c r="AD307" s="97" t="s">
        <v>1209</v>
      </c>
      <c r="AE307" s="90" t="b">
        <v>0</v>
      </c>
      <c r="AF307" s="90">
        <v>2</v>
      </c>
      <c r="AG307" s="97" t="s">
        <v>1400</v>
      </c>
      <c r="AH307" s="90" t="b">
        <v>0</v>
      </c>
      <c r="AI307" s="90" t="s">
        <v>1442</v>
      </c>
      <c r="AJ307" s="90"/>
      <c r="AK307" s="97" t="s">
        <v>1338</v>
      </c>
      <c r="AL307" s="90" t="b">
        <v>0</v>
      </c>
      <c r="AM307" s="90">
        <v>0</v>
      </c>
      <c r="AN307" s="97" t="s">
        <v>1338</v>
      </c>
      <c r="AO307" s="97" t="s">
        <v>1452</v>
      </c>
      <c r="AP307" s="90" t="b">
        <v>0</v>
      </c>
      <c r="AQ307" s="97" t="s">
        <v>1209</v>
      </c>
      <c r="AR307" s="90" t="s">
        <v>187</v>
      </c>
      <c r="AS307" s="90">
        <v>0</v>
      </c>
      <c r="AT307" s="90">
        <v>0</v>
      </c>
      <c r="AU307" s="90"/>
      <c r="AV307" s="90"/>
      <c r="AW307" s="90"/>
      <c r="AX307" s="90"/>
      <c r="AY307" s="90"/>
      <c r="AZ307" s="90"/>
      <c r="BA307" s="90"/>
      <c r="BB307" s="90"/>
      <c r="BC307">
        <v>1</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313</v>
      </c>
      <c r="B308" s="65" t="s">
        <v>459</v>
      </c>
      <c r="C308" s="66" t="s">
        <v>5817</v>
      </c>
      <c r="D308" s="67">
        <v>1</v>
      </c>
      <c r="E308" s="68" t="s">
        <v>132</v>
      </c>
      <c r="F308" s="69">
        <v>32</v>
      </c>
      <c r="G308" s="66" t="s">
        <v>51</v>
      </c>
      <c r="H308" s="70"/>
      <c r="I308" s="71"/>
      <c r="J308" s="71"/>
      <c r="K308" s="35" t="s">
        <v>65</v>
      </c>
      <c r="L308" s="79">
        <v>308</v>
      </c>
      <c r="M308" s="79"/>
      <c r="N308" s="73"/>
      <c r="O308" s="90" t="s">
        <v>524</v>
      </c>
      <c r="P308" s="93">
        <v>44531.40739583333</v>
      </c>
      <c r="Q308" s="90" t="s">
        <v>622</v>
      </c>
      <c r="R308" s="90"/>
      <c r="S308" s="90"/>
      <c r="T308" s="97" t="s">
        <v>713</v>
      </c>
      <c r="U308" s="90"/>
      <c r="V308" s="96" t="str">
        <f>HYPERLINK("https://pbs.twimg.com/profile_images/1244661543649902596/Jd-d7qQx_normal.jpg")</f>
        <v>https://pbs.twimg.com/profile_images/1244661543649902596/Jd-d7qQx_normal.jpg</v>
      </c>
      <c r="W308" s="93">
        <v>44531.40739583333</v>
      </c>
      <c r="X308" s="100">
        <v>44531</v>
      </c>
      <c r="Y308" s="97" t="s">
        <v>850</v>
      </c>
      <c r="Z308" s="96" t="str">
        <f>HYPERLINK("https://twitter.com/tiedonhalu/status/1465980655897034755")</f>
        <v>https://twitter.com/tiedonhalu/status/1465980655897034755</v>
      </c>
      <c r="AA308" s="90"/>
      <c r="AB308" s="90"/>
      <c r="AC308" s="97" t="s">
        <v>1102</v>
      </c>
      <c r="AD308" s="97" t="s">
        <v>1209</v>
      </c>
      <c r="AE308" s="90" t="b">
        <v>0</v>
      </c>
      <c r="AF308" s="90">
        <v>2</v>
      </c>
      <c r="AG308" s="97" t="s">
        <v>1400</v>
      </c>
      <c r="AH308" s="90" t="b">
        <v>0</v>
      </c>
      <c r="AI308" s="90" t="s">
        <v>1442</v>
      </c>
      <c r="AJ308" s="90"/>
      <c r="AK308" s="97" t="s">
        <v>1338</v>
      </c>
      <c r="AL308" s="90" t="b">
        <v>0</v>
      </c>
      <c r="AM308" s="90">
        <v>0</v>
      </c>
      <c r="AN308" s="97" t="s">
        <v>1338</v>
      </c>
      <c r="AO308" s="97" t="s">
        <v>1452</v>
      </c>
      <c r="AP308" s="90" t="b">
        <v>0</v>
      </c>
      <c r="AQ308" s="97" t="s">
        <v>1209</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2</v>
      </c>
      <c r="BE308" s="89" t="str">
        <f>REPLACE(INDEX(GroupVertices[Group],MATCH(Edges[[#This Row],[Vertex 2]],GroupVertices[Vertex],0)),1,1,"")</f>
        <v>2</v>
      </c>
      <c r="BF308" s="49"/>
      <c r="BG308" s="50"/>
      <c r="BH308" s="49"/>
      <c r="BI308" s="50"/>
      <c r="BJ308" s="49"/>
      <c r="BK308" s="50"/>
      <c r="BL308" s="49"/>
      <c r="BM308" s="50"/>
      <c r="BN308" s="49"/>
    </row>
    <row r="309" spans="1:66" ht="15">
      <c r="A309" s="65" t="s">
        <v>313</v>
      </c>
      <c r="B309" s="65" t="s">
        <v>372</v>
      </c>
      <c r="C309" s="66" t="s">
        <v>5817</v>
      </c>
      <c r="D309" s="67">
        <v>1</v>
      </c>
      <c r="E309" s="68" t="s">
        <v>132</v>
      </c>
      <c r="F309" s="69">
        <v>32</v>
      </c>
      <c r="G309" s="66" t="s">
        <v>51</v>
      </c>
      <c r="H309" s="70"/>
      <c r="I309" s="71"/>
      <c r="J309" s="71"/>
      <c r="K309" s="35" t="s">
        <v>65</v>
      </c>
      <c r="L309" s="79">
        <v>309</v>
      </c>
      <c r="M309" s="79"/>
      <c r="N309" s="73"/>
      <c r="O309" s="90" t="s">
        <v>523</v>
      </c>
      <c r="P309" s="93">
        <v>44531.40739583333</v>
      </c>
      <c r="Q309" s="90" t="s">
        <v>622</v>
      </c>
      <c r="R309" s="90"/>
      <c r="S309" s="90"/>
      <c r="T309" s="97" t="s">
        <v>713</v>
      </c>
      <c r="U309" s="90"/>
      <c r="V309" s="96" t="str">
        <f>HYPERLINK("https://pbs.twimg.com/profile_images/1244661543649902596/Jd-d7qQx_normal.jpg")</f>
        <v>https://pbs.twimg.com/profile_images/1244661543649902596/Jd-d7qQx_normal.jpg</v>
      </c>
      <c r="W309" s="93">
        <v>44531.40739583333</v>
      </c>
      <c r="X309" s="100">
        <v>44531</v>
      </c>
      <c r="Y309" s="97" t="s">
        <v>850</v>
      </c>
      <c r="Z309" s="96" t="str">
        <f>HYPERLINK("https://twitter.com/tiedonhalu/status/1465980655897034755")</f>
        <v>https://twitter.com/tiedonhalu/status/1465980655897034755</v>
      </c>
      <c r="AA309" s="90"/>
      <c r="AB309" s="90"/>
      <c r="AC309" s="97" t="s">
        <v>1102</v>
      </c>
      <c r="AD309" s="97" t="s">
        <v>1209</v>
      </c>
      <c r="AE309" s="90" t="b">
        <v>0</v>
      </c>
      <c r="AF309" s="90">
        <v>2</v>
      </c>
      <c r="AG309" s="97" t="s">
        <v>1400</v>
      </c>
      <c r="AH309" s="90" t="b">
        <v>0</v>
      </c>
      <c r="AI309" s="90" t="s">
        <v>1442</v>
      </c>
      <c r="AJ309" s="90"/>
      <c r="AK309" s="97" t="s">
        <v>1338</v>
      </c>
      <c r="AL309" s="90" t="b">
        <v>0</v>
      </c>
      <c r="AM309" s="90">
        <v>0</v>
      </c>
      <c r="AN309" s="97" t="s">
        <v>1338</v>
      </c>
      <c r="AO309" s="97" t="s">
        <v>1452</v>
      </c>
      <c r="AP309" s="90" t="b">
        <v>0</v>
      </c>
      <c r="AQ309" s="97" t="s">
        <v>1209</v>
      </c>
      <c r="AR309" s="90" t="s">
        <v>187</v>
      </c>
      <c r="AS309" s="90">
        <v>0</v>
      </c>
      <c r="AT309" s="90">
        <v>0</v>
      </c>
      <c r="AU309" s="90"/>
      <c r="AV309" s="90"/>
      <c r="AW309" s="90"/>
      <c r="AX309" s="90"/>
      <c r="AY309" s="90"/>
      <c r="AZ309" s="90"/>
      <c r="BA309" s="90"/>
      <c r="BB309" s="90"/>
      <c r="BC309">
        <v>1</v>
      </c>
      <c r="BD309" s="89" t="str">
        <f>REPLACE(INDEX(GroupVertices[Group],MATCH(Edges[[#This Row],[Vertex 1]],GroupVertices[Vertex],0)),1,1,"")</f>
        <v>2</v>
      </c>
      <c r="BE309" s="89" t="str">
        <f>REPLACE(INDEX(GroupVertices[Group],MATCH(Edges[[#This Row],[Vertex 2]],GroupVertices[Vertex],0)),1,1,"")</f>
        <v>2</v>
      </c>
      <c r="BF309" s="49">
        <v>0</v>
      </c>
      <c r="BG309" s="50">
        <v>0</v>
      </c>
      <c r="BH309" s="49">
        <v>0</v>
      </c>
      <c r="BI309" s="50">
        <v>0</v>
      </c>
      <c r="BJ309" s="49">
        <v>0</v>
      </c>
      <c r="BK309" s="50">
        <v>0</v>
      </c>
      <c r="BL309" s="49">
        <v>33</v>
      </c>
      <c r="BM309" s="50">
        <v>100</v>
      </c>
      <c r="BN309" s="49">
        <v>33</v>
      </c>
    </row>
    <row r="310" spans="1:66" ht="15">
      <c r="A310" s="65" t="s">
        <v>314</v>
      </c>
      <c r="B310" s="65" t="s">
        <v>281</v>
      </c>
      <c r="C310" s="66" t="s">
        <v>5817</v>
      </c>
      <c r="D310" s="67">
        <v>1</v>
      </c>
      <c r="E310" s="68" t="s">
        <v>132</v>
      </c>
      <c r="F310" s="69">
        <v>32</v>
      </c>
      <c r="G310" s="66" t="s">
        <v>51</v>
      </c>
      <c r="H310" s="70"/>
      <c r="I310" s="71"/>
      <c r="J310" s="71"/>
      <c r="K310" s="35" t="s">
        <v>65</v>
      </c>
      <c r="L310" s="79">
        <v>310</v>
      </c>
      <c r="M310" s="79"/>
      <c r="N310" s="73"/>
      <c r="O310" s="90" t="s">
        <v>522</v>
      </c>
      <c r="P310" s="93">
        <v>44531.4141087963</v>
      </c>
      <c r="Q310" s="90" t="s">
        <v>606</v>
      </c>
      <c r="R310" s="90"/>
      <c r="S310" s="90"/>
      <c r="T310" s="90"/>
      <c r="U310" s="90"/>
      <c r="V310" s="96" t="str">
        <f>HYPERLINK("https://abs.twimg.com/sticky/default_profile_images/default_profile_normal.png")</f>
        <v>https://abs.twimg.com/sticky/default_profile_images/default_profile_normal.png</v>
      </c>
      <c r="W310" s="93">
        <v>44531.4141087963</v>
      </c>
      <c r="X310" s="100">
        <v>44531</v>
      </c>
      <c r="Y310" s="97" t="s">
        <v>851</v>
      </c>
      <c r="Z310" s="96" t="str">
        <f>HYPERLINK("https://twitter.com/eskoluukkonen4/status/1465983088379445248")</f>
        <v>https://twitter.com/eskoluukkonen4/status/1465983088379445248</v>
      </c>
      <c r="AA310" s="90"/>
      <c r="AB310" s="90"/>
      <c r="AC310" s="97" t="s">
        <v>1103</v>
      </c>
      <c r="AD310" s="90"/>
      <c r="AE310" s="90" t="b">
        <v>0</v>
      </c>
      <c r="AF310" s="90">
        <v>0</v>
      </c>
      <c r="AG310" s="97" t="s">
        <v>1338</v>
      </c>
      <c r="AH310" s="90" t="b">
        <v>0</v>
      </c>
      <c r="AI310" s="90" t="s">
        <v>1442</v>
      </c>
      <c r="AJ310" s="90"/>
      <c r="AK310" s="97" t="s">
        <v>1338</v>
      </c>
      <c r="AL310" s="90" t="b">
        <v>0</v>
      </c>
      <c r="AM310" s="90">
        <v>6</v>
      </c>
      <c r="AN310" s="97" t="s">
        <v>1132</v>
      </c>
      <c r="AO310" s="97" t="s">
        <v>1452</v>
      </c>
      <c r="AP310" s="90" t="b">
        <v>0</v>
      </c>
      <c r="AQ310" s="97" t="s">
        <v>1132</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1</v>
      </c>
      <c r="BE310" s="89" t="str">
        <f>REPLACE(INDEX(GroupVertices[Group],MATCH(Edges[[#This Row],[Vertex 2]],GroupVertices[Vertex],0)),1,1,"")</f>
        <v>1</v>
      </c>
      <c r="BF310" s="49"/>
      <c r="BG310" s="50"/>
      <c r="BH310" s="49"/>
      <c r="BI310" s="50"/>
      <c r="BJ310" s="49"/>
      <c r="BK310" s="50"/>
      <c r="BL310" s="49"/>
      <c r="BM310" s="50"/>
      <c r="BN310" s="49"/>
    </row>
    <row r="311" spans="1:66" ht="15">
      <c r="A311" s="65" t="s">
        <v>314</v>
      </c>
      <c r="B311" s="65" t="s">
        <v>338</v>
      </c>
      <c r="C311" s="66" t="s">
        <v>5817</v>
      </c>
      <c r="D311" s="67">
        <v>1</v>
      </c>
      <c r="E311" s="68" t="s">
        <v>132</v>
      </c>
      <c r="F311" s="69">
        <v>32</v>
      </c>
      <c r="G311" s="66" t="s">
        <v>51</v>
      </c>
      <c r="H311" s="70"/>
      <c r="I311" s="71"/>
      <c r="J311" s="71"/>
      <c r="K311" s="35" t="s">
        <v>65</v>
      </c>
      <c r="L311" s="79">
        <v>311</v>
      </c>
      <c r="M311" s="79"/>
      <c r="N311" s="73"/>
      <c r="O311" s="90" t="s">
        <v>523</v>
      </c>
      <c r="P311" s="93">
        <v>44531.4141087963</v>
      </c>
      <c r="Q311" s="90" t="s">
        <v>606</v>
      </c>
      <c r="R311" s="90"/>
      <c r="S311" s="90"/>
      <c r="T311" s="90"/>
      <c r="U311" s="90"/>
      <c r="V311" s="96" t="str">
        <f>HYPERLINK("https://abs.twimg.com/sticky/default_profile_images/default_profile_normal.png")</f>
        <v>https://abs.twimg.com/sticky/default_profile_images/default_profile_normal.png</v>
      </c>
      <c r="W311" s="93">
        <v>44531.4141087963</v>
      </c>
      <c r="X311" s="100">
        <v>44531</v>
      </c>
      <c r="Y311" s="97" t="s">
        <v>851</v>
      </c>
      <c r="Z311" s="96" t="str">
        <f>HYPERLINK("https://twitter.com/eskoluukkonen4/status/1465983088379445248")</f>
        <v>https://twitter.com/eskoluukkonen4/status/1465983088379445248</v>
      </c>
      <c r="AA311" s="90"/>
      <c r="AB311" s="90"/>
      <c r="AC311" s="97" t="s">
        <v>1103</v>
      </c>
      <c r="AD311" s="90"/>
      <c r="AE311" s="90" t="b">
        <v>0</v>
      </c>
      <c r="AF311" s="90">
        <v>0</v>
      </c>
      <c r="AG311" s="97" t="s">
        <v>1338</v>
      </c>
      <c r="AH311" s="90" t="b">
        <v>0</v>
      </c>
      <c r="AI311" s="90" t="s">
        <v>1442</v>
      </c>
      <c r="AJ311" s="90"/>
      <c r="AK311" s="97" t="s">
        <v>1338</v>
      </c>
      <c r="AL311" s="90" t="b">
        <v>0</v>
      </c>
      <c r="AM311" s="90">
        <v>6</v>
      </c>
      <c r="AN311" s="97" t="s">
        <v>1132</v>
      </c>
      <c r="AO311" s="97" t="s">
        <v>1452</v>
      </c>
      <c r="AP311" s="90" t="b">
        <v>0</v>
      </c>
      <c r="AQ311" s="97" t="s">
        <v>1132</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1</v>
      </c>
      <c r="BE311" s="89" t="str">
        <f>REPLACE(INDEX(GroupVertices[Group],MATCH(Edges[[#This Row],[Vertex 2]],GroupVertices[Vertex],0)),1,1,"")</f>
        <v>1</v>
      </c>
      <c r="BF311" s="49">
        <v>0</v>
      </c>
      <c r="BG311" s="50">
        <v>0</v>
      </c>
      <c r="BH311" s="49">
        <v>0</v>
      </c>
      <c r="BI311" s="50">
        <v>0</v>
      </c>
      <c r="BJ311" s="49">
        <v>0</v>
      </c>
      <c r="BK311" s="50">
        <v>0</v>
      </c>
      <c r="BL311" s="49">
        <v>28</v>
      </c>
      <c r="BM311" s="50">
        <v>100</v>
      </c>
      <c r="BN311" s="49">
        <v>28</v>
      </c>
    </row>
    <row r="312" spans="1:66" ht="15">
      <c r="A312" s="65" t="s">
        <v>315</v>
      </c>
      <c r="B312" s="65" t="s">
        <v>315</v>
      </c>
      <c r="C312" s="66" t="s">
        <v>5817</v>
      </c>
      <c r="D312" s="67">
        <v>1</v>
      </c>
      <c r="E312" s="68" t="s">
        <v>132</v>
      </c>
      <c r="F312" s="69">
        <v>32</v>
      </c>
      <c r="G312" s="66" t="s">
        <v>51</v>
      </c>
      <c r="H312" s="70"/>
      <c r="I312" s="71"/>
      <c r="J312" s="71"/>
      <c r="K312" s="35" t="s">
        <v>65</v>
      </c>
      <c r="L312" s="79">
        <v>312</v>
      </c>
      <c r="M312" s="79"/>
      <c r="N312" s="73"/>
      <c r="O312" s="90" t="s">
        <v>187</v>
      </c>
      <c r="P312" s="93">
        <v>44531.42089120371</v>
      </c>
      <c r="Q312" s="90" t="s">
        <v>623</v>
      </c>
      <c r="R312" s="96" t="str">
        <f>HYPERLINK("https://www.mediuutiset.fi/uutiset/suomalainen-koronalaake-sai-patentin-nenasumutelaake-auttaa-erityisesti-jos-rokotekattavuus-uhkaa-jaada-liian-matalaksi-sanoo-keksija/4a819848-a71a-423d-b6bc-c9f605667af2")</f>
        <v>https://www.mediuutiset.fi/uutiset/suomalainen-koronalaake-sai-patentin-nenasumutelaake-auttaa-erityisesti-jos-rokotekattavuus-uhkaa-jaada-liian-matalaksi-sanoo-keksija/4a819848-a71a-423d-b6bc-c9f605667af2</v>
      </c>
      <c r="S312" s="90" t="s">
        <v>691</v>
      </c>
      <c r="T312" s="90"/>
      <c r="U312" s="90"/>
      <c r="V312" s="96" t="str">
        <f>HYPERLINK("https://pbs.twimg.com/profile_images/1385369904065355777/GhSKovG4_normal.jpg")</f>
        <v>https://pbs.twimg.com/profile_images/1385369904065355777/GhSKovG4_normal.jpg</v>
      </c>
      <c r="W312" s="93">
        <v>44531.42089120371</v>
      </c>
      <c r="X312" s="100">
        <v>44531</v>
      </c>
      <c r="Y312" s="97" t="s">
        <v>852</v>
      </c>
      <c r="Z312" s="96" t="str">
        <f>HYPERLINK("https://twitter.com/nullius_/status/1465985547118288898")</f>
        <v>https://twitter.com/nullius_/status/1465985547118288898</v>
      </c>
      <c r="AA312" s="90"/>
      <c r="AB312" s="90"/>
      <c r="AC312" s="97" t="s">
        <v>1104</v>
      </c>
      <c r="AD312" s="90"/>
      <c r="AE312" s="90" t="b">
        <v>0</v>
      </c>
      <c r="AF312" s="90">
        <v>2</v>
      </c>
      <c r="AG312" s="97" t="s">
        <v>1338</v>
      </c>
      <c r="AH312" s="90" t="b">
        <v>0</v>
      </c>
      <c r="AI312" s="90" t="s">
        <v>1442</v>
      </c>
      <c r="AJ312" s="90"/>
      <c r="AK312" s="97" t="s">
        <v>1338</v>
      </c>
      <c r="AL312" s="90" t="b">
        <v>0</v>
      </c>
      <c r="AM312" s="90">
        <v>0</v>
      </c>
      <c r="AN312" s="97" t="s">
        <v>1338</v>
      </c>
      <c r="AO312" s="97" t="s">
        <v>1450</v>
      </c>
      <c r="AP312" s="90" t="b">
        <v>0</v>
      </c>
      <c r="AQ312" s="97" t="s">
        <v>1104</v>
      </c>
      <c r="AR312" s="90" t="s">
        <v>187</v>
      </c>
      <c r="AS312" s="90">
        <v>0</v>
      </c>
      <c r="AT312" s="90">
        <v>0</v>
      </c>
      <c r="AU312" s="90"/>
      <c r="AV312" s="90"/>
      <c r="AW312" s="90"/>
      <c r="AX312" s="90"/>
      <c r="AY312" s="90"/>
      <c r="AZ312" s="90"/>
      <c r="BA312" s="90"/>
      <c r="BB312" s="90"/>
      <c r="BC312">
        <v>1</v>
      </c>
      <c r="BD312" s="89" t="str">
        <f>REPLACE(INDEX(GroupVertices[Group],MATCH(Edges[[#This Row],[Vertex 1]],GroupVertices[Vertex],0)),1,1,"")</f>
        <v>16</v>
      </c>
      <c r="BE312" s="89" t="str">
        <f>REPLACE(INDEX(GroupVertices[Group],MATCH(Edges[[#This Row],[Vertex 2]],GroupVertices[Vertex],0)),1,1,"")</f>
        <v>16</v>
      </c>
      <c r="BF312" s="49">
        <v>0</v>
      </c>
      <c r="BG312" s="50">
        <v>0</v>
      </c>
      <c r="BH312" s="49">
        <v>0</v>
      </c>
      <c r="BI312" s="50">
        <v>0</v>
      </c>
      <c r="BJ312" s="49">
        <v>0</v>
      </c>
      <c r="BK312" s="50">
        <v>0</v>
      </c>
      <c r="BL312" s="49">
        <v>18</v>
      </c>
      <c r="BM312" s="50">
        <v>100</v>
      </c>
      <c r="BN312" s="49">
        <v>18</v>
      </c>
    </row>
    <row r="313" spans="1:66" ht="15">
      <c r="A313" s="65" t="s">
        <v>316</v>
      </c>
      <c r="B313" s="65" t="s">
        <v>303</v>
      </c>
      <c r="C313" s="66" t="s">
        <v>5817</v>
      </c>
      <c r="D313" s="67">
        <v>1</v>
      </c>
      <c r="E313" s="68" t="s">
        <v>132</v>
      </c>
      <c r="F313" s="69">
        <v>32</v>
      </c>
      <c r="G313" s="66" t="s">
        <v>51</v>
      </c>
      <c r="H313" s="70"/>
      <c r="I313" s="71"/>
      <c r="J313" s="71"/>
      <c r="K313" s="35" t="s">
        <v>65</v>
      </c>
      <c r="L313" s="79">
        <v>313</v>
      </c>
      <c r="M313" s="79"/>
      <c r="N313" s="73"/>
      <c r="O313" s="90" t="s">
        <v>522</v>
      </c>
      <c r="P313" s="93">
        <v>44531.427465277775</v>
      </c>
      <c r="Q313" s="90" t="s">
        <v>598</v>
      </c>
      <c r="R313" s="90"/>
      <c r="S313" s="90"/>
      <c r="T313" s="90"/>
      <c r="U313" s="90"/>
      <c r="V313" s="96" t="str">
        <f>HYPERLINK("https://abs.twimg.com/sticky/default_profile_images/default_profile_normal.png")</f>
        <v>https://abs.twimg.com/sticky/default_profile_images/default_profile_normal.png</v>
      </c>
      <c r="W313" s="93">
        <v>44531.427465277775</v>
      </c>
      <c r="X313" s="100">
        <v>44531</v>
      </c>
      <c r="Y313" s="97" t="s">
        <v>853</v>
      </c>
      <c r="Z313" s="96" t="str">
        <f>HYPERLINK("https://twitter.com/grrr_marta/status/1465987927796764673")</f>
        <v>https://twitter.com/grrr_marta/status/1465987927796764673</v>
      </c>
      <c r="AA313" s="90"/>
      <c r="AB313" s="90"/>
      <c r="AC313" s="97" t="s">
        <v>1105</v>
      </c>
      <c r="AD313" s="90"/>
      <c r="AE313" s="90" t="b">
        <v>0</v>
      </c>
      <c r="AF313" s="90">
        <v>0</v>
      </c>
      <c r="AG313" s="97" t="s">
        <v>1338</v>
      </c>
      <c r="AH313" s="90" t="b">
        <v>0</v>
      </c>
      <c r="AI313" s="90" t="s">
        <v>1442</v>
      </c>
      <c r="AJ313" s="90"/>
      <c r="AK313" s="97" t="s">
        <v>1338</v>
      </c>
      <c r="AL313" s="90" t="b">
        <v>0</v>
      </c>
      <c r="AM313" s="90">
        <v>5</v>
      </c>
      <c r="AN313" s="97" t="s">
        <v>1136</v>
      </c>
      <c r="AO313" s="97" t="s">
        <v>1451</v>
      </c>
      <c r="AP313" s="90" t="b">
        <v>0</v>
      </c>
      <c r="AQ313" s="97" t="s">
        <v>1136</v>
      </c>
      <c r="AR313" s="90" t="s">
        <v>187</v>
      </c>
      <c r="AS313" s="90">
        <v>0</v>
      </c>
      <c r="AT313" s="90">
        <v>0</v>
      </c>
      <c r="AU313" s="90"/>
      <c r="AV313" s="90"/>
      <c r="AW313" s="90"/>
      <c r="AX313" s="90"/>
      <c r="AY313" s="90"/>
      <c r="AZ313" s="90"/>
      <c r="BA313" s="90"/>
      <c r="BB313" s="90"/>
      <c r="BC313">
        <v>1</v>
      </c>
      <c r="BD313" s="89" t="str">
        <f>REPLACE(INDEX(GroupVertices[Group],MATCH(Edges[[#This Row],[Vertex 1]],GroupVertices[Vertex],0)),1,1,"")</f>
        <v>1</v>
      </c>
      <c r="BE313" s="89" t="str">
        <f>REPLACE(INDEX(GroupVertices[Group],MATCH(Edges[[#This Row],[Vertex 2]],GroupVertices[Vertex],0)),1,1,"")</f>
        <v>1</v>
      </c>
      <c r="BF313" s="49"/>
      <c r="BG313" s="50"/>
      <c r="BH313" s="49"/>
      <c r="BI313" s="50"/>
      <c r="BJ313" s="49"/>
      <c r="BK313" s="50"/>
      <c r="BL313" s="49"/>
      <c r="BM313" s="50"/>
      <c r="BN313" s="49"/>
    </row>
    <row r="314" spans="1:66" ht="15">
      <c r="A314" s="65" t="s">
        <v>316</v>
      </c>
      <c r="B314" s="65" t="s">
        <v>338</v>
      </c>
      <c r="C314" s="66" t="s">
        <v>5817</v>
      </c>
      <c r="D314" s="67">
        <v>1</v>
      </c>
      <c r="E314" s="68" t="s">
        <v>132</v>
      </c>
      <c r="F314" s="69">
        <v>32</v>
      </c>
      <c r="G314" s="66" t="s">
        <v>51</v>
      </c>
      <c r="H314" s="70"/>
      <c r="I314" s="71"/>
      <c r="J314" s="71"/>
      <c r="K314" s="35" t="s">
        <v>65</v>
      </c>
      <c r="L314" s="79">
        <v>314</v>
      </c>
      <c r="M314" s="79"/>
      <c r="N314" s="73"/>
      <c r="O314" s="90" t="s">
        <v>523</v>
      </c>
      <c r="P314" s="93">
        <v>44531.427465277775</v>
      </c>
      <c r="Q314" s="90" t="s">
        <v>598</v>
      </c>
      <c r="R314" s="90"/>
      <c r="S314" s="90"/>
      <c r="T314" s="90"/>
      <c r="U314" s="90"/>
      <c r="V314" s="96" t="str">
        <f>HYPERLINK("https://abs.twimg.com/sticky/default_profile_images/default_profile_normal.png")</f>
        <v>https://abs.twimg.com/sticky/default_profile_images/default_profile_normal.png</v>
      </c>
      <c r="W314" s="93">
        <v>44531.427465277775</v>
      </c>
      <c r="X314" s="100">
        <v>44531</v>
      </c>
      <c r="Y314" s="97" t="s">
        <v>853</v>
      </c>
      <c r="Z314" s="96" t="str">
        <f>HYPERLINK("https://twitter.com/grrr_marta/status/1465987927796764673")</f>
        <v>https://twitter.com/grrr_marta/status/1465987927796764673</v>
      </c>
      <c r="AA314" s="90"/>
      <c r="AB314" s="90"/>
      <c r="AC314" s="97" t="s">
        <v>1105</v>
      </c>
      <c r="AD314" s="90"/>
      <c r="AE314" s="90" t="b">
        <v>0</v>
      </c>
      <c r="AF314" s="90">
        <v>0</v>
      </c>
      <c r="AG314" s="97" t="s">
        <v>1338</v>
      </c>
      <c r="AH314" s="90" t="b">
        <v>0</v>
      </c>
      <c r="AI314" s="90" t="s">
        <v>1442</v>
      </c>
      <c r="AJ314" s="90"/>
      <c r="AK314" s="97" t="s">
        <v>1338</v>
      </c>
      <c r="AL314" s="90" t="b">
        <v>0</v>
      </c>
      <c r="AM314" s="90">
        <v>5</v>
      </c>
      <c r="AN314" s="97" t="s">
        <v>1136</v>
      </c>
      <c r="AO314" s="97" t="s">
        <v>1451</v>
      </c>
      <c r="AP314" s="90" t="b">
        <v>0</v>
      </c>
      <c r="AQ314" s="97" t="s">
        <v>1136</v>
      </c>
      <c r="AR314" s="90" t="s">
        <v>187</v>
      </c>
      <c r="AS314" s="90">
        <v>0</v>
      </c>
      <c r="AT314" s="90">
        <v>0</v>
      </c>
      <c r="AU314" s="90"/>
      <c r="AV314" s="90"/>
      <c r="AW314" s="90"/>
      <c r="AX314" s="90"/>
      <c r="AY314" s="90"/>
      <c r="AZ314" s="90"/>
      <c r="BA314" s="90"/>
      <c r="BB314" s="90"/>
      <c r="BC314">
        <v>1</v>
      </c>
      <c r="BD314" s="89" t="str">
        <f>REPLACE(INDEX(GroupVertices[Group],MATCH(Edges[[#This Row],[Vertex 1]],GroupVertices[Vertex],0)),1,1,"")</f>
        <v>1</v>
      </c>
      <c r="BE314" s="89" t="str">
        <f>REPLACE(INDEX(GroupVertices[Group],MATCH(Edges[[#This Row],[Vertex 2]],GroupVertices[Vertex],0)),1,1,"")</f>
        <v>1</v>
      </c>
      <c r="BF314" s="49">
        <v>0</v>
      </c>
      <c r="BG314" s="50">
        <v>0</v>
      </c>
      <c r="BH314" s="49">
        <v>0</v>
      </c>
      <c r="BI314" s="50">
        <v>0</v>
      </c>
      <c r="BJ314" s="49">
        <v>0</v>
      </c>
      <c r="BK314" s="50">
        <v>0</v>
      </c>
      <c r="BL314" s="49">
        <v>24</v>
      </c>
      <c r="BM314" s="50">
        <v>100</v>
      </c>
      <c r="BN314" s="49">
        <v>24</v>
      </c>
    </row>
    <row r="315" spans="1:66" ht="15">
      <c r="A315" s="65" t="s">
        <v>317</v>
      </c>
      <c r="B315" s="65" t="s">
        <v>458</v>
      </c>
      <c r="C315" s="66" t="s">
        <v>5817</v>
      </c>
      <c r="D315" s="67">
        <v>1</v>
      </c>
      <c r="E315" s="68" t="s">
        <v>132</v>
      </c>
      <c r="F315" s="69">
        <v>32</v>
      </c>
      <c r="G315" s="66" t="s">
        <v>51</v>
      </c>
      <c r="H315" s="70"/>
      <c r="I315" s="71"/>
      <c r="J315" s="71"/>
      <c r="K315" s="35" t="s">
        <v>65</v>
      </c>
      <c r="L315" s="79">
        <v>315</v>
      </c>
      <c r="M315" s="79"/>
      <c r="N315" s="73"/>
      <c r="O315" s="90" t="s">
        <v>524</v>
      </c>
      <c r="P315" s="93">
        <v>44531.457407407404</v>
      </c>
      <c r="Q315" s="90" t="s">
        <v>624</v>
      </c>
      <c r="R315" s="90"/>
      <c r="S315" s="90"/>
      <c r="T315" s="90"/>
      <c r="U315" s="96" t="str">
        <f>HYPERLINK("https://pbs.twimg.com/media/FFhGDFnWQAE8ItO.jpg")</f>
        <v>https://pbs.twimg.com/media/FFhGDFnWQAE8ItO.jpg</v>
      </c>
      <c r="V315" s="96" t="str">
        <f>HYPERLINK("https://pbs.twimg.com/media/FFhGDFnWQAE8ItO.jpg")</f>
        <v>https://pbs.twimg.com/media/FFhGDFnWQAE8ItO.jpg</v>
      </c>
      <c r="W315" s="93">
        <v>44531.457407407404</v>
      </c>
      <c r="X315" s="100">
        <v>44531</v>
      </c>
      <c r="Y315" s="97" t="s">
        <v>854</v>
      </c>
      <c r="Z315" s="96" t="str">
        <f>HYPERLINK("https://twitter.com/akottarainen/status/1465998777723064320")</f>
        <v>https://twitter.com/akottarainen/status/1465998777723064320</v>
      </c>
      <c r="AA315" s="90"/>
      <c r="AB315" s="90"/>
      <c r="AC315" s="97" t="s">
        <v>1106</v>
      </c>
      <c r="AD315" s="97" t="s">
        <v>1269</v>
      </c>
      <c r="AE315" s="90" t="b">
        <v>0</v>
      </c>
      <c r="AF315" s="90">
        <v>1</v>
      </c>
      <c r="AG315" s="97" t="s">
        <v>1385</v>
      </c>
      <c r="AH315" s="90" t="b">
        <v>0</v>
      </c>
      <c r="AI315" s="90" t="s">
        <v>1442</v>
      </c>
      <c r="AJ315" s="90"/>
      <c r="AK315" s="97" t="s">
        <v>1338</v>
      </c>
      <c r="AL315" s="90" t="b">
        <v>0</v>
      </c>
      <c r="AM315" s="90">
        <v>0</v>
      </c>
      <c r="AN315" s="97" t="s">
        <v>1338</v>
      </c>
      <c r="AO315" s="97" t="s">
        <v>1450</v>
      </c>
      <c r="AP315" s="90" t="b">
        <v>0</v>
      </c>
      <c r="AQ315" s="97" t="s">
        <v>1269</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c r="BG315" s="50"/>
      <c r="BH315" s="49"/>
      <c r="BI315" s="50"/>
      <c r="BJ315" s="49"/>
      <c r="BK315" s="50"/>
      <c r="BL315" s="49"/>
      <c r="BM315" s="50"/>
      <c r="BN315" s="49"/>
    </row>
    <row r="316" spans="1:66" ht="15">
      <c r="A316" s="65" t="s">
        <v>317</v>
      </c>
      <c r="B316" s="65" t="s">
        <v>459</v>
      </c>
      <c r="C316" s="66" t="s">
        <v>5817</v>
      </c>
      <c r="D316" s="67">
        <v>1</v>
      </c>
      <c r="E316" s="68" t="s">
        <v>132</v>
      </c>
      <c r="F316" s="69">
        <v>32</v>
      </c>
      <c r="G316" s="66" t="s">
        <v>51</v>
      </c>
      <c r="H316" s="70"/>
      <c r="I316" s="71"/>
      <c r="J316" s="71"/>
      <c r="K316" s="35" t="s">
        <v>65</v>
      </c>
      <c r="L316" s="79">
        <v>316</v>
      </c>
      <c r="M316" s="79"/>
      <c r="N316" s="73"/>
      <c r="O316" s="90" t="s">
        <v>523</v>
      </c>
      <c r="P316" s="93">
        <v>44531.457407407404</v>
      </c>
      <c r="Q316" s="90" t="s">
        <v>624</v>
      </c>
      <c r="R316" s="90"/>
      <c r="S316" s="90"/>
      <c r="T316" s="90"/>
      <c r="U316" s="96" t="str">
        <f>HYPERLINK("https://pbs.twimg.com/media/FFhGDFnWQAE8ItO.jpg")</f>
        <v>https://pbs.twimg.com/media/FFhGDFnWQAE8ItO.jpg</v>
      </c>
      <c r="V316" s="96" t="str">
        <f>HYPERLINK("https://pbs.twimg.com/media/FFhGDFnWQAE8ItO.jpg")</f>
        <v>https://pbs.twimg.com/media/FFhGDFnWQAE8ItO.jpg</v>
      </c>
      <c r="W316" s="93">
        <v>44531.457407407404</v>
      </c>
      <c r="X316" s="100">
        <v>44531</v>
      </c>
      <c r="Y316" s="97" t="s">
        <v>854</v>
      </c>
      <c r="Z316" s="96" t="str">
        <f>HYPERLINK("https://twitter.com/akottarainen/status/1465998777723064320")</f>
        <v>https://twitter.com/akottarainen/status/1465998777723064320</v>
      </c>
      <c r="AA316" s="90"/>
      <c r="AB316" s="90"/>
      <c r="AC316" s="97" t="s">
        <v>1106</v>
      </c>
      <c r="AD316" s="97" t="s">
        <v>1269</v>
      </c>
      <c r="AE316" s="90" t="b">
        <v>0</v>
      </c>
      <c r="AF316" s="90">
        <v>1</v>
      </c>
      <c r="AG316" s="97" t="s">
        <v>1385</v>
      </c>
      <c r="AH316" s="90" t="b">
        <v>0</v>
      </c>
      <c r="AI316" s="90" t="s">
        <v>1442</v>
      </c>
      <c r="AJ316" s="90"/>
      <c r="AK316" s="97" t="s">
        <v>1338</v>
      </c>
      <c r="AL316" s="90" t="b">
        <v>0</v>
      </c>
      <c r="AM316" s="90">
        <v>0</v>
      </c>
      <c r="AN316" s="97" t="s">
        <v>1338</v>
      </c>
      <c r="AO316" s="97" t="s">
        <v>1450</v>
      </c>
      <c r="AP316" s="90" t="b">
        <v>0</v>
      </c>
      <c r="AQ316" s="97" t="s">
        <v>1269</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v>0</v>
      </c>
      <c r="BG316" s="50">
        <v>0</v>
      </c>
      <c r="BH316" s="49">
        <v>0</v>
      </c>
      <c r="BI316" s="50">
        <v>0</v>
      </c>
      <c r="BJ316" s="49">
        <v>0</v>
      </c>
      <c r="BK316" s="50">
        <v>0</v>
      </c>
      <c r="BL316" s="49">
        <v>36</v>
      </c>
      <c r="BM316" s="50">
        <v>100</v>
      </c>
      <c r="BN316" s="49">
        <v>36</v>
      </c>
    </row>
    <row r="317" spans="1:66" ht="15">
      <c r="A317" s="65" t="s">
        <v>318</v>
      </c>
      <c r="B317" s="65" t="s">
        <v>471</v>
      </c>
      <c r="C317" s="66" t="s">
        <v>5817</v>
      </c>
      <c r="D317" s="67">
        <v>1</v>
      </c>
      <c r="E317" s="68" t="s">
        <v>132</v>
      </c>
      <c r="F317" s="69">
        <v>32</v>
      </c>
      <c r="G317" s="66" t="s">
        <v>51</v>
      </c>
      <c r="H317" s="70"/>
      <c r="I317" s="71"/>
      <c r="J317" s="71"/>
      <c r="K317" s="35" t="s">
        <v>65</v>
      </c>
      <c r="L317" s="79">
        <v>317</v>
      </c>
      <c r="M317" s="79"/>
      <c r="N317" s="73"/>
      <c r="O317" s="90" t="s">
        <v>523</v>
      </c>
      <c r="P317" s="93">
        <v>44531.48525462963</v>
      </c>
      <c r="Q317" s="90" t="s">
        <v>625</v>
      </c>
      <c r="R317" s="90"/>
      <c r="S317" s="90"/>
      <c r="T317" s="90"/>
      <c r="U317" s="90"/>
      <c r="V317" s="96" t="str">
        <f>HYPERLINK("https://pbs.twimg.com/profile_images/1460388526961344516/Iq252bVI_normal.jpg")</f>
        <v>https://pbs.twimg.com/profile_images/1460388526961344516/Iq252bVI_normal.jpg</v>
      </c>
      <c r="W317" s="93">
        <v>44531.48525462963</v>
      </c>
      <c r="X317" s="100">
        <v>44531</v>
      </c>
      <c r="Y317" s="97" t="s">
        <v>855</v>
      </c>
      <c r="Z317" s="96" t="str">
        <f>HYPERLINK("https://twitter.com/tatianadesancti/status/1466008872162934790")</f>
        <v>https://twitter.com/tatianadesancti/status/1466008872162934790</v>
      </c>
      <c r="AA317" s="90"/>
      <c r="AB317" s="90"/>
      <c r="AC317" s="97" t="s">
        <v>1107</v>
      </c>
      <c r="AD317" s="97" t="s">
        <v>1286</v>
      </c>
      <c r="AE317" s="90" t="b">
        <v>0</v>
      </c>
      <c r="AF317" s="90">
        <v>0</v>
      </c>
      <c r="AG317" s="97" t="s">
        <v>1402</v>
      </c>
      <c r="AH317" s="90" t="b">
        <v>0</v>
      </c>
      <c r="AI317" s="90" t="s">
        <v>1442</v>
      </c>
      <c r="AJ317" s="90"/>
      <c r="AK317" s="97" t="s">
        <v>1338</v>
      </c>
      <c r="AL317" s="90" t="b">
        <v>0</v>
      </c>
      <c r="AM317" s="90">
        <v>0</v>
      </c>
      <c r="AN317" s="97" t="s">
        <v>1338</v>
      </c>
      <c r="AO317" s="97" t="s">
        <v>1451</v>
      </c>
      <c r="AP317" s="90" t="b">
        <v>0</v>
      </c>
      <c r="AQ317" s="97" t="s">
        <v>1286</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23</v>
      </c>
      <c r="BE317" s="89" t="str">
        <f>REPLACE(INDEX(GroupVertices[Group],MATCH(Edges[[#This Row],[Vertex 2]],GroupVertices[Vertex],0)),1,1,"")</f>
        <v>23</v>
      </c>
      <c r="BF317" s="49">
        <v>0</v>
      </c>
      <c r="BG317" s="50">
        <v>0</v>
      </c>
      <c r="BH317" s="49">
        <v>0</v>
      </c>
      <c r="BI317" s="50">
        <v>0</v>
      </c>
      <c r="BJ317" s="49">
        <v>0</v>
      </c>
      <c r="BK317" s="50">
        <v>0</v>
      </c>
      <c r="BL317" s="49">
        <v>38</v>
      </c>
      <c r="BM317" s="50">
        <v>100</v>
      </c>
      <c r="BN317" s="49">
        <v>38</v>
      </c>
    </row>
    <row r="318" spans="1:66" ht="15">
      <c r="A318" s="65" t="s">
        <v>319</v>
      </c>
      <c r="B318" s="65" t="s">
        <v>458</v>
      </c>
      <c r="C318" s="66" t="s">
        <v>5817</v>
      </c>
      <c r="D318" s="67">
        <v>1</v>
      </c>
      <c r="E318" s="68" t="s">
        <v>132</v>
      </c>
      <c r="F318" s="69">
        <v>32</v>
      </c>
      <c r="G318" s="66" t="s">
        <v>51</v>
      </c>
      <c r="H318" s="70"/>
      <c r="I318" s="71"/>
      <c r="J318" s="71"/>
      <c r="K318" s="35" t="s">
        <v>65</v>
      </c>
      <c r="L318" s="79">
        <v>318</v>
      </c>
      <c r="M318" s="79"/>
      <c r="N318" s="73"/>
      <c r="O318" s="90" t="s">
        <v>525</v>
      </c>
      <c r="P318" s="93">
        <v>44531.489907407406</v>
      </c>
      <c r="Q318" s="90" t="s">
        <v>626</v>
      </c>
      <c r="R318" s="90"/>
      <c r="S318" s="90"/>
      <c r="T318" s="90"/>
      <c r="U318" s="90"/>
      <c r="V318" s="96" t="str">
        <f>HYPERLINK("https://pbs.twimg.com/profile_images/1168501153279221765/fKTfezDj_normal.jpg")</f>
        <v>https://pbs.twimg.com/profile_images/1168501153279221765/fKTfezDj_normal.jpg</v>
      </c>
      <c r="W318" s="93">
        <v>44531.489907407406</v>
      </c>
      <c r="X318" s="100">
        <v>44531</v>
      </c>
      <c r="Y318" s="97" t="s">
        <v>856</v>
      </c>
      <c r="Z318" s="96" t="str">
        <f>HYPERLINK("https://twitter.com/timahmc/status/1466010558214332423")</f>
        <v>https://twitter.com/timahmc/status/1466010558214332423</v>
      </c>
      <c r="AA318" s="90"/>
      <c r="AB318" s="90"/>
      <c r="AC318" s="97" t="s">
        <v>1108</v>
      </c>
      <c r="AD318" s="90"/>
      <c r="AE318" s="90" t="b">
        <v>0</v>
      </c>
      <c r="AF318" s="90">
        <v>0</v>
      </c>
      <c r="AG318" s="97" t="s">
        <v>1338</v>
      </c>
      <c r="AH318" s="90" t="b">
        <v>0</v>
      </c>
      <c r="AI318" s="90" t="s">
        <v>1442</v>
      </c>
      <c r="AJ318" s="90"/>
      <c r="AK318" s="97" t="s">
        <v>1338</v>
      </c>
      <c r="AL318" s="90" t="b">
        <v>0</v>
      </c>
      <c r="AM318" s="90">
        <v>2</v>
      </c>
      <c r="AN318" s="97" t="s">
        <v>1209</v>
      </c>
      <c r="AO318" s="97" t="s">
        <v>1452</v>
      </c>
      <c r="AP318" s="90" t="b">
        <v>0</v>
      </c>
      <c r="AQ318" s="97" t="s">
        <v>1209</v>
      </c>
      <c r="AR318" s="90" t="s">
        <v>187</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c r="BG318" s="50"/>
      <c r="BH318" s="49"/>
      <c r="BI318" s="50"/>
      <c r="BJ318" s="49"/>
      <c r="BK318" s="50"/>
      <c r="BL318" s="49"/>
      <c r="BM318" s="50"/>
      <c r="BN318" s="49"/>
    </row>
    <row r="319" spans="1:66" ht="15">
      <c r="A319" s="65" t="s">
        <v>319</v>
      </c>
      <c r="B319" s="65" t="s">
        <v>372</v>
      </c>
      <c r="C319" s="66" t="s">
        <v>5817</v>
      </c>
      <c r="D319" s="67">
        <v>1</v>
      </c>
      <c r="E319" s="68" t="s">
        <v>132</v>
      </c>
      <c r="F319" s="69">
        <v>32</v>
      </c>
      <c r="G319" s="66" t="s">
        <v>51</v>
      </c>
      <c r="H319" s="70"/>
      <c r="I319" s="71"/>
      <c r="J319" s="71"/>
      <c r="K319" s="35" t="s">
        <v>65</v>
      </c>
      <c r="L319" s="79">
        <v>319</v>
      </c>
      <c r="M319" s="79"/>
      <c r="N319" s="73"/>
      <c r="O319" s="90" t="s">
        <v>522</v>
      </c>
      <c r="P319" s="93">
        <v>44531.489907407406</v>
      </c>
      <c r="Q319" s="90" t="s">
        <v>626</v>
      </c>
      <c r="R319" s="90"/>
      <c r="S319" s="90"/>
      <c r="T319" s="90"/>
      <c r="U319" s="90"/>
      <c r="V319" s="96" t="str">
        <f>HYPERLINK("https://pbs.twimg.com/profile_images/1168501153279221765/fKTfezDj_normal.jpg")</f>
        <v>https://pbs.twimg.com/profile_images/1168501153279221765/fKTfezDj_normal.jpg</v>
      </c>
      <c r="W319" s="93">
        <v>44531.489907407406</v>
      </c>
      <c r="X319" s="100">
        <v>44531</v>
      </c>
      <c r="Y319" s="97" t="s">
        <v>856</v>
      </c>
      <c r="Z319" s="96" t="str">
        <f>HYPERLINK("https://twitter.com/timahmc/status/1466010558214332423")</f>
        <v>https://twitter.com/timahmc/status/1466010558214332423</v>
      </c>
      <c r="AA319" s="90"/>
      <c r="AB319" s="90"/>
      <c r="AC319" s="97" t="s">
        <v>1108</v>
      </c>
      <c r="AD319" s="90"/>
      <c r="AE319" s="90" t="b">
        <v>0</v>
      </c>
      <c r="AF319" s="90">
        <v>0</v>
      </c>
      <c r="AG319" s="97" t="s">
        <v>1338</v>
      </c>
      <c r="AH319" s="90" t="b">
        <v>0</v>
      </c>
      <c r="AI319" s="90" t="s">
        <v>1442</v>
      </c>
      <c r="AJ319" s="90"/>
      <c r="AK319" s="97" t="s">
        <v>1338</v>
      </c>
      <c r="AL319" s="90" t="b">
        <v>0</v>
      </c>
      <c r="AM319" s="90">
        <v>2</v>
      </c>
      <c r="AN319" s="97" t="s">
        <v>1209</v>
      </c>
      <c r="AO319" s="97" t="s">
        <v>1452</v>
      </c>
      <c r="AP319" s="90" t="b">
        <v>0</v>
      </c>
      <c r="AQ319" s="97" t="s">
        <v>1209</v>
      </c>
      <c r="AR319" s="90" t="s">
        <v>187</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c r="BG319" s="50"/>
      <c r="BH319" s="49"/>
      <c r="BI319" s="50"/>
      <c r="BJ319" s="49"/>
      <c r="BK319" s="50"/>
      <c r="BL319" s="49"/>
      <c r="BM319" s="50"/>
      <c r="BN319" s="49"/>
    </row>
    <row r="320" spans="1:66" ht="15">
      <c r="A320" s="65" t="s">
        <v>319</v>
      </c>
      <c r="B320" s="65" t="s">
        <v>459</v>
      </c>
      <c r="C320" s="66" t="s">
        <v>5817</v>
      </c>
      <c r="D320" s="67">
        <v>1</v>
      </c>
      <c r="E320" s="68" t="s">
        <v>132</v>
      </c>
      <c r="F320" s="69">
        <v>32</v>
      </c>
      <c r="G320" s="66" t="s">
        <v>51</v>
      </c>
      <c r="H320" s="70"/>
      <c r="I320" s="71"/>
      <c r="J320" s="71"/>
      <c r="K320" s="35" t="s">
        <v>65</v>
      </c>
      <c r="L320" s="79">
        <v>320</v>
      </c>
      <c r="M320" s="79"/>
      <c r="N320" s="73"/>
      <c r="O320" s="90" t="s">
        <v>523</v>
      </c>
      <c r="P320" s="93">
        <v>44531.489907407406</v>
      </c>
      <c r="Q320" s="90" t="s">
        <v>626</v>
      </c>
      <c r="R320" s="90"/>
      <c r="S320" s="90"/>
      <c r="T320" s="90"/>
      <c r="U320" s="90"/>
      <c r="V320" s="96" t="str">
        <f>HYPERLINK("https://pbs.twimg.com/profile_images/1168501153279221765/fKTfezDj_normal.jpg")</f>
        <v>https://pbs.twimg.com/profile_images/1168501153279221765/fKTfezDj_normal.jpg</v>
      </c>
      <c r="W320" s="93">
        <v>44531.489907407406</v>
      </c>
      <c r="X320" s="100">
        <v>44531</v>
      </c>
      <c r="Y320" s="97" t="s">
        <v>856</v>
      </c>
      <c r="Z320" s="96" t="str">
        <f>HYPERLINK("https://twitter.com/timahmc/status/1466010558214332423")</f>
        <v>https://twitter.com/timahmc/status/1466010558214332423</v>
      </c>
      <c r="AA320" s="90"/>
      <c r="AB320" s="90"/>
      <c r="AC320" s="97" t="s">
        <v>1108</v>
      </c>
      <c r="AD320" s="90"/>
      <c r="AE320" s="90" t="b">
        <v>0</v>
      </c>
      <c r="AF320" s="90">
        <v>0</v>
      </c>
      <c r="AG320" s="97" t="s">
        <v>1338</v>
      </c>
      <c r="AH320" s="90" t="b">
        <v>0</v>
      </c>
      <c r="AI320" s="90" t="s">
        <v>1442</v>
      </c>
      <c r="AJ320" s="90"/>
      <c r="AK320" s="97" t="s">
        <v>1338</v>
      </c>
      <c r="AL320" s="90" t="b">
        <v>0</v>
      </c>
      <c r="AM320" s="90">
        <v>2</v>
      </c>
      <c r="AN320" s="97" t="s">
        <v>1209</v>
      </c>
      <c r="AO320" s="97" t="s">
        <v>1452</v>
      </c>
      <c r="AP320" s="90" t="b">
        <v>0</v>
      </c>
      <c r="AQ320" s="97" t="s">
        <v>1209</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2</v>
      </c>
      <c r="BE320" s="89" t="str">
        <f>REPLACE(INDEX(GroupVertices[Group],MATCH(Edges[[#This Row],[Vertex 2]],GroupVertices[Vertex],0)),1,1,"")</f>
        <v>2</v>
      </c>
      <c r="BF320" s="49">
        <v>0</v>
      </c>
      <c r="BG320" s="50">
        <v>0</v>
      </c>
      <c r="BH320" s="49">
        <v>0</v>
      </c>
      <c r="BI320" s="50">
        <v>0</v>
      </c>
      <c r="BJ320" s="49">
        <v>0</v>
      </c>
      <c r="BK320" s="50">
        <v>0</v>
      </c>
      <c r="BL320" s="49">
        <v>37</v>
      </c>
      <c r="BM320" s="50">
        <v>100</v>
      </c>
      <c r="BN320" s="49">
        <v>37</v>
      </c>
    </row>
    <row r="321" spans="1:66" ht="15">
      <c r="A321" s="65" t="s">
        <v>320</v>
      </c>
      <c r="B321" s="65" t="s">
        <v>472</v>
      </c>
      <c r="C321" s="66" t="s">
        <v>5817</v>
      </c>
      <c r="D321" s="67">
        <v>1</v>
      </c>
      <c r="E321" s="68" t="s">
        <v>132</v>
      </c>
      <c r="F321" s="69">
        <v>32</v>
      </c>
      <c r="G321" s="66" t="s">
        <v>51</v>
      </c>
      <c r="H321" s="70"/>
      <c r="I321" s="71"/>
      <c r="J321" s="71"/>
      <c r="K321" s="35" t="s">
        <v>65</v>
      </c>
      <c r="L321" s="79">
        <v>321</v>
      </c>
      <c r="M321" s="79"/>
      <c r="N321" s="73"/>
      <c r="O321" s="90" t="s">
        <v>524</v>
      </c>
      <c r="P321" s="93">
        <v>44531.4925</v>
      </c>
      <c r="Q321" s="90" t="s">
        <v>627</v>
      </c>
      <c r="R321" s="96" t="str">
        <f>HYPERLINK("https://www.cnbc.com/amp/2021/11/29/pfizer-ceo-confident-covid-treatment-pill-effective-against-omicron-variant.html")</f>
        <v>https://www.cnbc.com/amp/2021/11/29/pfizer-ceo-confident-covid-treatment-pill-effective-against-omicron-variant.html</v>
      </c>
      <c r="S321" s="90" t="s">
        <v>702</v>
      </c>
      <c r="T321" s="90"/>
      <c r="U321" s="90"/>
      <c r="V321" s="96" t="str">
        <f>HYPERLINK("https://pbs.twimg.com/profile_images/1451134207183437824/rhFmauKk_normal.jpg")</f>
        <v>https://pbs.twimg.com/profile_images/1451134207183437824/rhFmauKk_normal.jpg</v>
      </c>
      <c r="W321" s="93">
        <v>44531.4925</v>
      </c>
      <c r="X321" s="100">
        <v>44531</v>
      </c>
      <c r="Y321" s="97" t="s">
        <v>857</v>
      </c>
      <c r="Z321" s="96" t="str">
        <f>HYPERLINK("https://twitter.com/kviikari/status/1466011496526323714")</f>
        <v>https://twitter.com/kviikari/status/1466011496526323714</v>
      </c>
      <c r="AA321" s="90"/>
      <c r="AB321" s="90"/>
      <c r="AC321" s="97" t="s">
        <v>1109</v>
      </c>
      <c r="AD321" s="97" t="s">
        <v>1287</v>
      </c>
      <c r="AE321" s="90" t="b">
        <v>0</v>
      </c>
      <c r="AF321" s="90">
        <v>0</v>
      </c>
      <c r="AG321" s="97" t="s">
        <v>1403</v>
      </c>
      <c r="AH321" s="90" t="b">
        <v>0</v>
      </c>
      <c r="AI321" s="90" t="s">
        <v>1442</v>
      </c>
      <c r="AJ321" s="90"/>
      <c r="AK321" s="97" t="s">
        <v>1338</v>
      </c>
      <c r="AL321" s="90" t="b">
        <v>0</v>
      </c>
      <c r="AM321" s="90">
        <v>0</v>
      </c>
      <c r="AN321" s="97" t="s">
        <v>1338</v>
      </c>
      <c r="AO321" s="97" t="s">
        <v>1450</v>
      </c>
      <c r="AP321" s="90" t="b">
        <v>0</v>
      </c>
      <c r="AQ321" s="97" t="s">
        <v>1287</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11</v>
      </c>
      <c r="BE321" s="89" t="str">
        <f>REPLACE(INDEX(GroupVertices[Group],MATCH(Edges[[#This Row],[Vertex 2]],GroupVertices[Vertex],0)),1,1,"")</f>
        <v>11</v>
      </c>
      <c r="BF321" s="49"/>
      <c r="BG321" s="50"/>
      <c r="BH321" s="49"/>
      <c r="BI321" s="50"/>
      <c r="BJ321" s="49"/>
      <c r="BK321" s="50"/>
      <c r="BL321" s="49"/>
      <c r="BM321" s="50"/>
      <c r="BN321" s="49"/>
    </row>
    <row r="322" spans="1:66" ht="15">
      <c r="A322" s="65" t="s">
        <v>320</v>
      </c>
      <c r="B322" s="65" t="s">
        <v>473</v>
      </c>
      <c r="C322" s="66" t="s">
        <v>5817</v>
      </c>
      <c r="D322" s="67">
        <v>1</v>
      </c>
      <c r="E322" s="68" t="s">
        <v>132</v>
      </c>
      <c r="F322" s="69">
        <v>32</v>
      </c>
      <c r="G322" s="66" t="s">
        <v>51</v>
      </c>
      <c r="H322" s="70"/>
      <c r="I322" s="71"/>
      <c r="J322" s="71"/>
      <c r="K322" s="35" t="s">
        <v>65</v>
      </c>
      <c r="L322" s="79">
        <v>322</v>
      </c>
      <c r="M322" s="79"/>
      <c r="N322" s="73"/>
      <c r="O322" s="90" t="s">
        <v>524</v>
      </c>
      <c r="P322" s="93">
        <v>44531.4925</v>
      </c>
      <c r="Q322" s="90" t="s">
        <v>627</v>
      </c>
      <c r="R322" s="96" t="str">
        <f>HYPERLINK("https://www.cnbc.com/amp/2021/11/29/pfizer-ceo-confident-covid-treatment-pill-effective-against-omicron-variant.html")</f>
        <v>https://www.cnbc.com/amp/2021/11/29/pfizer-ceo-confident-covid-treatment-pill-effective-against-omicron-variant.html</v>
      </c>
      <c r="S322" s="90" t="s">
        <v>702</v>
      </c>
      <c r="T322" s="90"/>
      <c r="U322" s="90"/>
      <c r="V322" s="96" t="str">
        <f>HYPERLINK("https://pbs.twimg.com/profile_images/1451134207183437824/rhFmauKk_normal.jpg")</f>
        <v>https://pbs.twimg.com/profile_images/1451134207183437824/rhFmauKk_normal.jpg</v>
      </c>
      <c r="W322" s="93">
        <v>44531.4925</v>
      </c>
      <c r="X322" s="100">
        <v>44531</v>
      </c>
      <c r="Y322" s="97" t="s">
        <v>857</v>
      </c>
      <c r="Z322" s="96" t="str">
        <f>HYPERLINK("https://twitter.com/kviikari/status/1466011496526323714")</f>
        <v>https://twitter.com/kviikari/status/1466011496526323714</v>
      </c>
      <c r="AA322" s="90"/>
      <c r="AB322" s="90"/>
      <c r="AC322" s="97" t="s">
        <v>1109</v>
      </c>
      <c r="AD322" s="97" t="s">
        <v>1287</v>
      </c>
      <c r="AE322" s="90" t="b">
        <v>0</v>
      </c>
      <c r="AF322" s="90">
        <v>0</v>
      </c>
      <c r="AG322" s="97" t="s">
        <v>1403</v>
      </c>
      <c r="AH322" s="90" t="b">
        <v>0</v>
      </c>
      <c r="AI322" s="90" t="s">
        <v>1442</v>
      </c>
      <c r="AJ322" s="90"/>
      <c r="AK322" s="97" t="s">
        <v>1338</v>
      </c>
      <c r="AL322" s="90" t="b">
        <v>0</v>
      </c>
      <c r="AM322" s="90">
        <v>0</v>
      </c>
      <c r="AN322" s="97" t="s">
        <v>1338</v>
      </c>
      <c r="AO322" s="97" t="s">
        <v>1450</v>
      </c>
      <c r="AP322" s="90" t="b">
        <v>0</v>
      </c>
      <c r="AQ322" s="97" t="s">
        <v>1287</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11</v>
      </c>
      <c r="BE322" s="89" t="str">
        <f>REPLACE(INDEX(GroupVertices[Group],MATCH(Edges[[#This Row],[Vertex 2]],GroupVertices[Vertex],0)),1,1,"")</f>
        <v>11</v>
      </c>
      <c r="BF322" s="49"/>
      <c r="BG322" s="50"/>
      <c r="BH322" s="49"/>
      <c r="BI322" s="50"/>
      <c r="BJ322" s="49"/>
      <c r="BK322" s="50"/>
      <c r="BL322" s="49"/>
      <c r="BM322" s="50"/>
      <c r="BN322" s="49"/>
    </row>
    <row r="323" spans="1:66" ht="15">
      <c r="A323" s="65" t="s">
        <v>320</v>
      </c>
      <c r="B323" s="65" t="s">
        <v>474</v>
      </c>
      <c r="C323" s="66" t="s">
        <v>5817</v>
      </c>
      <c r="D323" s="67">
        <v>1</v>
      </c>
      <c r="E323" s="68" t="s">
        <v>132</v>
      </c>
      <c r="F323" s="69">
        <v>32</v>
      </c>
      <c r="G323" s="66" t="s">
        <v>51</v>
      </c>
      <c r="H323" s="70"/>
      <c r="I323" s="71"/>
      <c r="J323" s="71"/>
      <c r="K323" s="35" t="s">
        <v>65</v>
      </c>
      <c r="L323" s="79">
        <v>323</v>
      </c>
      <c r="M323" s="79"/>
      <c r="N323" s="73"/>
      <c r="O323" s="90" t="s">
        <v>524</v>
      </c>
      <c r="P323" s="93">
        <v>44531.4925</v>
      </c>
      <c r="Q323" s="90" t="s">
        <v>627</v>
      </c>
      <c r="R323" s="96" t="str">
        <f>HYPERLINK("https://www.cnbc.com/amp/2021/11/29/pfizer-ceo-confident-covid-treatment-pill-effective-against-omicron-variant.html")</f>
        <v>https://www.cnbc.com/amp/2021/11/29/pfizer-ceo-confident-covid-treatment-pill-effective-against-omicron-variant.html</v>
      </c>
      <c r="S323" s="90" t="s">
        <v>702</v>
      </c>
      <c r="T323" s="90"/>
      <c r="U323" s="90"/>
      <c r="V323" s="96" t="str">
        <f>HYPERLINK("https://pbs.twimg.com/profile_images/1451134207183437824/rhFmauKk_normal.jpg")</f>
        <v>https://pbs.twimg.com/profile_images/1451134207183437824/rhFmauKk_normal.jpg</v>
      </c>
      <c r="W323" s="93">
        <v>44531.4925</v>
      </c>
      <c r="X323" s="100">
        <v>44531</v>
      </c>
      <c r="Y323" s="97" t="s">
        <v>857</v>
      </c>
      <c r="Z323" s="96" t="str">
        <f>HYPERLINK("https://twitter.com/kviikari/status/1466011496526323714")</f>
        <v>https://twitter.com/kviikari/status/1466011496526323714</v>
      </c>
      <c r="AA323" s="90"/>
      <c r="AB323" s="90"/>
      <c r="AC323" s="97" t="s">
        <v>1109</v>
      </c>
      <c r="AD323" s="97" t="s">
        <v>1287</v>
      </c>
      <c r="AE323" s="90" t="b">
        <v>0</v>
      </c>
      <c r="AF323" s="90">
        <v>0</v>
      </c>
      <c r="AG323" s="97" t="s">
        <v>1403</v>
      </c>
      <c r="AH323" s="90" t="b">
        <v>0</v>
      </c>
      <c r="AI323" s="90" t="s">
        <v>1442</v>
      </c>
      <c r="AJ323" s="90"/>
      <c r="AK323" s="97" t="s">
        <v>1338</v>
      </c>
      <c r="AL323" s="90" t="b">
        <v>0</v>
      </c>
      <c r="AM323" s="90">
        <v>0</v>
      </c>
      <c r="AN323" s="97" t="s">
        <v>1338</v>
      </c>
      <c r="AO323" s="97" t="s">
        <v>1450</v>
      </c>
      <c r="AP323" s="90" t="b">
        <v>0</v>
      </c>
      <c r="AQ323" s="97" t="s">
        <v>1287</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11</v>
      </c>
      <c r="BE323" s="89" t="str">
        <f>REPLACE(INDEX(GroupVertices[Group],MATCH(Edges[[#This Row],[Vertex 2]],GroupVertices[Vertex],0)),1,1,"")</f>
        <v>11</v>
      </c>
      <c r="BF323" s="49"/>
      <c r="BG323" s="50"/>
      <c r="BH323" s="49"/>
      <c r="BI323" s="50"/>
      <c r="BJ323" s="49"/>
      <c r="BK323" s="50"/>
      <c r="BL323" s="49"/>
      <c r="BM323" s="50"/>
      <c r="BN323" s="49"/>
    </row>
    <row r="324" spans="1:66" ht="15">
      <c r="A324" s="65" t="s">
        <v>320</v>
      </c>
      <c r="B324" s="65" t="s">
        <v>475</v>
      </c>
      <c r="C324" s="66" t="s">
        <v>5817</v>
      </c>
      <c r="D324" s="67">
        <v>1</v>
      </c>
      <c r="E324" s="68" t="s">
        <v>132</v>
      </c>
      <c r="F324" s="69">
        <v>32</v>
      </c>
      <c r="G324" s="66" t="s">
        <v>51</v>
      </c>
      <c r="H324" s="70"/>
      <c r="I324" s="71"/>
      <c r="J324" s="71"/>
      <c r="K324" s="35" t="s">
        <v>65</v>
      </c>
      <c r="L324" s="79">
        <v>324</v>
      </c>
      <c r="M324" s="79"/>
      <c r="N324" s="73"/>
      <c r="O324" s="90" t="s">
        <v>523</v>
      </c>
      <c r="P324" s="93">
        <v>44531.4925</v>
      </c>
      <c r="Q324" s="90" t="s">
        <v>627</v>
      </c>
      <c r="R324" s="96" t="str">
        <f>HYPERLINK("https://www.cnbc.com/amp/2021/11/29/pfizer-ceo-confident-covid-treatment-pill-effective-against-omicron-variant.html")</f>
        <v>https://www.cnbc.com/amp/2021/11/29/pfizer-ceo-confident-covid-treatment-pill-effective-against-omicron-variant.html</v>
      </c>
      <c r="S324" s="90" t="s">
        <v>702</v>
      </c>
      <c r="T324" s="90"/>
      <c r="U324" s="90"/>
      <c r="V324" s="96" t="str">
        <f>HYPERLINK("https://pbs.twimg.com/profile_images/1451134207183437824/rhFmauKk_normal.jpg")</f>
        <v>https://pbs.twimg.com/profile_images/1451134207183437824/rhFmauKk_normal.jpg</v>
      </c>
      <c r="W324" s="93">
        <v>44531.4925</v>
      </c>
      <c r="X324" s="100">
        <v>44531</v>
      </c>
      <c r="Y324" s="97" t="s">
        <v>857</v>
      </c>
      <c r="Z324" s="96" t="str">
        <f>HYPERLINK("https://twitter.com/kviikari/status/1466011496526323714")</f>
        <v>https://twitter.com/kviikari/status/1466011496526323714</v>
      </c>
      <c r="AA324" s="90"/>
      <c r="AB324" s="90"/>
      <c r="AC324" s="97" t="s">
        <v>1109</v>
      </c>
      <c r="AD324" s="97" t="s">
        <v>1287</v>
      </c>
      <c r="AE324" s="90" t="b">
        <v>0</v>
      </c>
      <c r="AF324" s="90">
        <v>0</v>
      </c>
      <c r="AG324" s="97" t="s">
        <v>1403</v>
      </c>
      <c r="AH324" s="90" t="b">
        <v>0</v>
      </c>
      <c r="AI324" s="90" t="s">
        <v>1442</v>
      </c>
      <c r="AJ324" s="90"/>
      <c r="AK324" s="97" t="s">
        <v>1338</v>
      </c>
      <c r="AL324" s="90" t="b">
        <v>0</v>
      </c>
      <c r="AM324" s="90">
        <v>0</v>
      </c>
      <c r="AN324" s="97" t="s">
        <v>1338</v>
      </c>
      <c r="AO324" s="97" t="s">
        <v>1450</v>
      </c>
      <c r="AP324" s="90" t="b">
        <v>0</v>
      </c>
      <c r="AQ324" s="97" t="s">
        <v>1287</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11</v>
      </c>
      <c r="BE324" s="89" t="str">
        <f>REPLACE(INDEX(GroupVertices[Group],MATCH(Edges[[#This Row],[Vertex 2]],GroupVertices[Vertex],0)),1,1,"")</f>
        <v>11</v>
      </c>
      <c r="BF324" s="49">
        <v>0</v>
      </c>
      <c r="BG324" s="50">
        <v>0</v>
      </c>
      <c r="BH324" s="49">
        <v>0</v>
      </c>
      <c r="BI324" s="50">
        <v>0</v>
      </c>
      <c r="BJ324" s="49">
        <v>0</v>
      </c>
      <c r="BK324" s="50">
        <v>0</v>
      </c>
      <c r="BL324" s="49">
        <v>14</v>
      </c>
      <c r="BM324" s="50">
        <v>100</v>
      </c>
      <c r="BN324" s="49">
        <v>14</v>
      </c>
    </row>
    <row r="325" spans="1:66" ht="15">
      <c r="A325" s="65" t="s">
        <v>321</v>
      </c>
      <c r="B325" s="65" t="s">
        <v>476</v>
      </c>
      <c r="C325" s="66" t="s">
        <v>5817</v>
      </c>
      <c r="D325" s="67">
        <v>1</v>
      </c>
      <c r="E325" s="68" t="s">
        <v>132</v>
      </c>
      <c r="F325" s="69">
        <v>32</v>
      </c>
      <c r="G325" s="66" t="s">
        <v>51</v>
      </c>
      <c r="H325" s="70"/>
      <c r="I325" s="71"/>
      <c r="J325" s="71"/>
      <c r="K325" s="35" t="s">
        <v>65</v>
      </c>
      <c r="L325" s="79">
        <v>325</v>
      </c>
      <c r="M325" s="79"/>
      <c r="N325" s="73"/>
      <c r="O325" s="90" t="s">
        <v>524</v>
      </c>
      <c r="P325" s="93">
        <v>44531.49428240741</v>
      </c>
      <c r="Q325" s="90" t="s">
        <v>628</v>
      </c>
      <c r="R325" s="90"/>
      <c r="S325" s="90"/>
      <c r="T325" s="97" t="s">
        <v>714</v>
      </c>
      <c r="U325" s="90"/>
      <c r="V325" s="96" t="str">
        <f>HYPERLINK("https://pbs.twimg.com/profile_images/553909318873915393/6Ip_pVV5_normal.png")</f>
        <v>https://pbs.twimg.com/profile_images/553909318873915393/6Ip_pVV5_normal.png</v>
      </c>
      <c r="W325" s="93">
        <v>44531.49428240741</v>
      </c>
      <c r="X325" s="100">
        <v>44531</v>
      </c>
      <c r="Y325" s="97" t="s">
        <v>858</v>
      </c>
      <c r="Z325" s="96" t="str">
        <f>HYPERLINK("https://twitter.com/eliasaarnio/status/1466012143543795718")</f>
        <v>https://twitter.com/eliasaarnio/status/1466012143543795718</v>
      </c>
      <c r="AA325" s="90"/>
      <c r="AB325" s="90"/>
      <c r="AC325" s="97" t="s">
        <v>1110</v>
      </c>
      <c r="AD325" s="97" t="s">
        <v>1288</v>
      </c>
      <c r="AE325" s="90" t="b">
        <v>0</v>
      </c>
      <c r="AF325" s="90">
        <v>0</v>
      </c>
      <c r="AG325" s="97" t="s">
        <v>1385</v>
      </c>
      <c r="AH325" s="90" t="b">
        <v>0</v>
      </c>
      <c r="AI325" s="90" t="s">
        <v>1442</v>
      </c>
      <c r="AJ325" s="90"/>
      <c r="AK325" s="97" t="s">
        <v>1338</v>
      </c>
      <c r="AL325" s="90" t="b">
        <v>0</v>
      </c>
      <c r="AM325" s="90">
        <v>0</v>
      </c>
      <c r="AN325" s="97" t="s">
        <v>1338</v>
      </c>
      <c r="AO325" s="97" t="s">
        <v>1454</v>
      </c>
      <c r="AP325" s="90" t="b">
        <v>0</v>
      </c>
      <c r="AQ325" s="97" t="s">
        <v>1288</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2</v>
      </c>
      <c r="BF325" s="49">
        <v>0</v>
      </c>
      <c r="BG325" s="50">
        <v>0</v>
      </c>
      <c r="BH325" s="49">
        <v>0</v>
      </c>
      <c r="BI325" s="50">
        <v>0</v>
      </c>
      <c r="BJ325" s="49">
        <v>0</v>
      </c>
      <c r="BK325" s="50">
        <v>0</v>
      </c>
      <c r="BL325" s="49">
        <v>33</v>
      </c>
      <c r="BM325" s="50">
        <v>100</v>
      </c>
      <c r="BN325" s="49">
        <v>33</v>
      </c>
    </row>
    <row r="326" spans="1:66" ht="15">
      <c r="A326" s="65" t="s">
        <v>321</v>
      </c>
      <c r="B326" s="65" t="s">
        <v>458</v>
      </c>
      <c r="C326" s="66" t="s">
        <v>5817</v>
      </c>
      <c r="D326" s="67">
        <v>1</v>
      </c>
      <c r="E326" s="68" t="s">
        <v>132</v>
      </c>
      <c r="F326" s="69">
        <v>32</v>
      </c>
      <c r="G326" s="66" t="s">
        <v>51</v>
      </c>
      <c r="H326" s="70"/>
      <c r="I326" s="71"/>
      <c r="J326" s="71"/>
      <c r="K326" s="35" t="s">
        <v>65</v>
      </c>
      <c r="L326" s="79">
        <v>326</v>
      </c>
      <c r="M326" s="79"/>
      <c r="N326" s="73"/>
      <c r="O326" s="90" t="s">
        <v>524</v>
      </c>
      <c r="P326" s="93">
        <v>44531.49428240741</v>
      </c>
      <c r="Q326" s="90" t="s">
        <v>628</v>
      </c>
      <c r="R326" s="90"/>
      <c r="S326" s="90"/>
      <c r="T326" s="97" t="s">
        <v>714</v>
      </c>
      <c r="U326" s="90"/>
      <c r="V326" s="96" t="str">
        <f>HYPERLINK("https://pbs.twimg.com/profile_images/553909318873915393/6Ip_pVV5_normal.png")</f>
        <v>https://pbs.twimg.com/profile_images/553909318873915393/6Ip_pVV5_normal.png</v>
      </c>
      <c r="W326" s="93">
        <v>44531.49428240741</v>
      </c>
      <c r="X326" s="100">
        <v>44531</v>
      </c>
      <c r="Y326" s="97" t="s">
        <v>858</v>
      </c>
      <c r="Z326" s="96" t="str">
        <f>HYPERLINK("https://twitter.com/eliasaarnio/status/1466012143543795718")</f>
        <v>https://twitter.com/eliasaarnio/status/1466012143543795718</v>
      </c>
      <c r="AA326" s="90"/>
      <c r="AB326" s="90"/>
      <c r="AC326" s="97" t="s">
        <v>1110</v>
      </c>
      <c r="AD326" s="97" t="s">
        <v>1288</v>
      </c>
      <c r="AE326" s="90" t="b">
        <v>0</v>
      </c>
      <c r="AF326" s="90">
        <v>0</v>
      </c>
      <c r="AG326" s="97" t="s">
        <v>1385</v>
      </c>
      <c r="AH326" s="90" t="b">
        <v>0</v>
      </c>
      <c r="AI326" s="90" t="s">
        <v>1442</v>
      </c>
      <c r="AJ326" s="90"/>
      <c r="AK326" s="97" t="s">
        <v>1338</v>
      </c>
      <c r="AL326" s="90" t="b">
        <v>0</v>
      </c>
      <c r="AM326" s="90">
        <v>0</v>
      </c>
      <c r="AN326" s="97" t="s">
        <v>1338</v>
      </c>
      <c r="AO326" s="97" t="s">
        <v>1454</v>
      </c>
      <c r="AP326" s="90" t="b">
        <v>0</v>
      </c>
      <c r="AQ326" s="97" t="s">
        <v>1288</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5" t="s">
        <v>321</v>
      </c>
      <c r="B327" s="65" t="s">
        <v>459</v>
      </c>
      <c r="C327" s="66" t="s">
        <v>5817</v>
      </c>
      <c r="D327" s="67">
        <v>1</v>
      </c>
      <c r="E327" s="68" t="s">
        <v>132</v>
      </c>
      <c r="F327" s="69">
        <v>32</v>
      </c>
      <c r="G327" s="66" t="s">
        <v>51</v>
      </c>
      <c r="H327" s="70"/>
      <c r="I327" s="71"/>
      <c r="J327" s="71"/>
      <c r="K327" s="35" t="s">
        <v>65</v>
      </c>
      <c r="L327" s="79">
        <v>327</v>
      </c>
      <c r="M327" s="79"/>
      <c r="N327" s="73"/>
      <c r="O327" s="90" t="s">
        <v>523</v>
      </c>
      <c r="P327" s="93">
        <v>44531.49428240741</v>
      </c>
      <c r="Q327" s="90" t="s">
        <v>628</v>
      </c>
      <c r="R327" s="90"/>
      <c r="S327" s="90"/>
      <c r="T327" s="97" t="s">
        <v>714</v>
      </c>
      <c r="U327" s="90"/>
      <c r="V327" s="96" t="str">
        <f>HYPERLINK("https://pbs.twimg.com/profile_images/553909318873915393/6Ip_pVV5_normal.png")</f>
        <v>https://pbs.twimg.com/profile_images/553909318873915393/6Ip_pVV5_normal.png</v>
      </c>
      <c r="W327" s="93">
        <v>44531.49428240741</v>
      </c>
      <c r="X327" s="100">
        <v>44531</v>
      </c>
      <c r="Y327" s="97" t="s">
        <v>858</v>
      </c>
      <c r="Z327" s="96" t="str">
        <f>HYPERLINK("https://twitter.com/eliasaarnio/status/1466012143543795718")</f>
        <v>https://twitter.com/eliasaarnio/status/1466012143543795718</v>
      </c>
      <c r="AA327" s="90"/>
      <c r="AB327" s="90"/>
      <c r="AC327" s="97" t="s">
        <v>1110</v>
      </c>
      <c r="AD327" s="97" t="s">
        <v>1288</v>
      </c>
      <c r="AE327" s="90" t="b">
        <v>0</v>
      </c>
      <c r="AF327" s="90">
        <v>0</v>
      </c>
      <c r="AG327" s="97" t="s">
        <v>1385</v>
      </c>
      <c r="AH327" s="90" t="b">
        <v>0</v>
      </c>
      <c r="AI327" s="90" t="s">
        <v>1442</v>
      </c>
      <c r="AJ327" s="90"/>
      <c r="AK327" s="97" t="s">
        <v>1338</v>
      </c>
      <c r="AL327" s="90" t="b">
        <v>0</v>
      </c>
      <c r="AM327" s="90">
        <v>0</v>
      </c>
      <c r="AN327" s="97" t="s">
        <v>1338</v>
      </c>
      <c r="AO327" s="97" t="s">
        <v>1454</v>
      </c>
      <c r="AP327" s="90" t="b">
        <v>0</v>
      </c>
      <c r="AQ327" s="97" t="s">
        <v>1288</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5" t="s">
        <v>322</v>
      </c>
      <c r="B328" s="65" t="s">
        <v>477</v>
      </c>
      <c r="C328" s="66" t="s">
        <v>5817</v>
      </c>
      <c r="D328" s="67">
        <v>1</v>
      </c>
      <c r="E328" s="68" t="s">
        <v>132</v>
      </c>
      <c r="F328" s="69">
        <v>32</v>
      </c>
      <c r="G328" s="66" t="s">
        <v>51</v>
      </c>
      <c r="H328" s="70"/>
      <c r="I328" s="71"/>
      <c r="J328" s="71"/>
      <c r="K328" s="35" t="s">
        <v>65</v>
      </c>
      <c r="L328" s="79">
        <v>328</v>
      </c>
      <c r="M328" s="79"/>
      <c r="N328" s="73"/>
      <c r="O328" s="90" t="s">
        <v>523</v>
      </c>
      <c r="P328" s="93">
        <v>44531.49616898148</v>
      </c>
      <c r="Q328" s="90" t="s">
        <v>629</v>
      </c>
      <c r="R328" s="96" t="str">
        <f>HYPERLINK("https://www.nobelprize.org/prizes/medicine/2015/press-release/")</f>
        <v>https://www.nobelprize.org/prizes/medicine/2015/press-release/</v>
      </c>
      <c r="S328" s="90" t="s">
        <v>703</v>
      </c>
      <c r="T328" s="90"/>
      <c r="U328" s="90"/>
      <c r="V328" s="96" t="str">
        <f>HYPERLINK("https://pbs.twimg.com/profile_images/1289129660203388928/uZ3S7sWF_normal.jpg")</f>
        <v>https://pbs.twimg.com/profile_images/1289129660203388928/uZ3S7sWF_normal.jpg</v>
      </c>
      <c r="W328" s="93">
        <v>44531.49616898148</v>
      </c>
      <c r="X328" s="100">
        <v>44531</v>
      </c>
      <c r="Y328" s="97" t="s">
        <v>859</v>
      </c>
      <c r="Z328" s="96" t="str">
        <f>HYPERLINK("https://twitter.com/jvnevalainen/status/1466012826208813057")</f>
        <v>https://twitter.com/jvnevalainen/status/1466012826208813057</v>
      </c>
      <c r="AA328" s="90"/>
      <c r="AB328" s="90"/>
      <c r="AC328" s="97" t="s">
        <v>1111</v>
      </c>
      <c r="AD328" s="97" t="s">
        <v>1289</v>
      </c>
      <c r="AE328" s="90" t="b">
        <v>0</v>
      </c>
      <c r="AF328" s="90">
        <v>2</v>
      </c>
      <c r="AG328" s="97" t="s">
        <v>1404</v>
      </c>
      <c r="AH328" s="90" t="b">
        <v>0</v>
      </c>
      <c r="AI328" s="90" t="s">
        <v>1442</v>
      </c>
      <c r="AJ328" s="90"/>
      <c r="AK328" s="97" t="s">
        <v>1338</v>
      </c>
      <c r="AL328" s="90" t="b">
        <v>0</v>
      </c>
      <c r="AM328" s="90">
        <v>0</v>
      </c>
      <c r="AN328" s="97" t="s">
        <v>1338</v>
      </c>
      <c r="AO328" s="97" t="s">
        <v>1451</v>
      </c>
      <c r="AP328" s="90" t="b">
        <v>0</v>
      </c>
      <c r="AQ328" s="97" t="s">
        <v>1289</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v>0</v>
      </c>
      <c r="BG328" s="50">
        <v>0</v>
      </c>
      <c r="BH328" s="49">
        <v>0</v>
      </c>
      <c r="BI328" s="50">
        <v>0</v>
      </c>
      <c r="BJ328" s="49">
        <v>0</v>
      </c>
      <c r="BK328" s="50">
        <v>0</v>
      </c>
      <c r="BL328" s="49">
        <v>21</v>
      </c>
      <c r="BM328" s="50">
        <v>100</v>
      </c>
      <c r="BN328" s="49">
        <v>21</v>
      </c>
    </row>
    <row r="329" spans="1:66" ht="15">
      <c r="A329" s="65" t="s">
        <v>322</v>
      </c>
      <c r="B329" s="65" t="s">
        <v>458</v>
      </c>
      <c r="C329" s="66" t="s">
        <v>5817</v>
      </c>
      <c r="D329" s="67">
        <v>1</v>
      </c>
      <c r="E329" s="68" t="s">
        <v>132</v>
      </c>
      <c r="F329" s="69">
        <v>32</v>
      </c>
      <c r="G329" s="66" t="s">
        <v>51</v>
      </c>
      <c r="H329" s="70"/>
      <c r="I329" s="71"/>
      <c r="J329" s="71"/>
      <c r="K329" s="35" t="s">
        <v>65</v>
      </c>
      <c r="L329" s="79">
        <v>329</v>
      </c>
      <c r="M329" s="79"/>
      <c r="N329" s="73"/>
      <c r="O329" s="90" t="s">
        <v>524</v>
      </c>
      <c r="P329" s="93">
        <v>44531.49616898148</v>
      </c>
      <c r="Q329" s="90" t="s">
        <v>629</v>
      </c>
      <c r="R329" s="96" t="str">
        <f>HYPERLINK("https://www.nobelprize.org/prizes/medicine/2015/press-release/")</f>
        <v>https://www.nobelprize.org/prizes/medicine/2015/press-release/</v>
      </c>
      <c r="S329" s="90" t="s">
        <v>703</v>
      </c>
      <c r="T329" s="90"/>
      <c r="U329" s="90"/>
      <c r="V329" s="96" t="str">
        <f>HYPERLINK("https://pbs.twimg.com/profile_images/1289129660203388928/uZ3S7sWF_normal.jpg")</f>
        <v>https://pbs.twimg.com/profile_images/1289129660203388928/uZ3S7sWF_normal.jpg</v>
      </c>
      <c r="W329" s="93">
        <v>44531.49616898148</v>
      </c>
      <c r="X329" s="100">
        <v>44531</v>
      </c>
      <c r="Y329" s="97" t="s">
        <v>859</v>
      </c>
      <c r="Z329" s="96" t="str">
        <f>HYPERLINK("https://twitter.com/jvnevalainen/status/1466012826208813057")</f>
        <v>https://twitter.com/jvnevalainen/status/1466012826208813057</v>
      </c>
      <c r="AA329" s="90"/>
      <c r="AB329" s="90"/>
      <c r="AC329" s="97" t="s">
        <v>1111</v>
      </c>
      <c r="AD329" s="97" t="s">
        <v>1289</v>
      </c>
      <c r="AE329" s="90" t="b">
        <v>0</v>
      </c>
      <c r="AF329" s="90">
        <v>2</v>
      </c>
      <c r="AG329" s="97" t="s">
        <v>1404</v>
      </c>
      <c r="AH329" s="90" t="b">
        <v>0</v>
      </c>
      <c r="AI329" s="90" t="s">
        <v>1442</v>
      </c>
      <c r="AJ329" s="90"/>
      <c r="AK329" s="97" t="s">
        <v>1338</v>
      </c>
      <c r="AL329" s="90" t="b">
        <v>0</v>
      </c>
      <c r="AM329" s="90">
        <v>0</v>
      </c>
      <c r="AN329" s="97" t="s">
        <v>1338</v>
      </c>
      <c r="AO329" s="97" t="s">
        <v>1451</v>
      </c>
      <c r="AP329" s="90" t="b">
        <v>0</v>
      </c>
      <c r="AQ329" s="97" t="s">
        <v>1289</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2</v>
      </c>
      <c r="BF329" s="49"/>
      <c r="BG329" s="50"/>
      <c r="BH329" s="49"/>
      <c r="BI329" s="50"/>
      <c r="BJ329" s="49"/>
      <c r="BK329" s="50"/>
      <c r="BL329" s="49"/>
      <c r="BM329" s="50"/>
      <c r="BN329" s="49"/>
    </row>
    <row r="330" spans="1:66" ht="15">
      <c r="A330" s="65" t="s">
        <v>322</v>
      </c>
      <c r="B330" s="65" t="s">
        <v>459</v>
      </c>
      <c r="C330" s="66" t="s">
        <v>5817</v>
      </c>
      <c r="D330" s="67">
        <v>1</v>
      </c>
      <c r="E330" s="68" t="s">
        <v>132</v>
      </c>
      <c r="F330" s="69">
        <v>32</v>
      </c>
      <c r="G330" s="66" t="s">
        <v>51</v>
      </c>
      <c r="H330" s="70"/>
      <c r="I330" s="71"/>
      <c r="J330" s="71"/>
      <c r="K330" s="35" t="s">
        <v>65</v>
      </c>
      <c r="L330" s="79">
        <v>330</v>
      </c>
      <c r="M330" s="79"/>
      <c r="N330" s="73"/>
      <c r="O330" s="90" t="s">
        <v>524</v>
      </c>
      <c r="P330" s="93">
        <v>44531.49616898148</v>
      </c>
      <c r="Q330" s="90" t="s">
        <v>629</v>
      </c>
      <c r="R330" s="96" t="str">
        <f>HYPERLINK("https://www.nobelprize.org/prizes/medicine/2015/press-release/")</f>
        <v>https://www.nobelprize.org/prizes/medicine/2015/press-release/</v>
      </c>
      <c r="S330" s="90" t="s">
        <v>703</v>
      </c>
      <c r="T330" s="90"/>
      <c r="U330" s="90"/>
      <c r="V330" s="96" t="str">
        <f>HYPERLINK("https://pbs.twimg.com/profile_images/1289129660203388928/uZ3S7sWF_normal.jpg")</f>
        <v>https://pbs.twimg.com/profile_images/1289129660203388928/uZ3S7sWF_normal.jpg</v>
      </c>
      <c r="W330" s="93">
        <v>44531.49616898148</v>
      </c>
      <c r="X330" s="100">
        <v>44531</v>
      </c>
      <c r="Y330" s="97" t="s">
        <v>859</v>
      </c>
      <c r="Z330" s="96" t="str">
        <f>HYPERLINK("https://twitter.com/jvnevalainen/status/1466012826208813057")</f>
        <v>https://twitter.com/jvnevalainen/status/1466012826208813057</v>
      </c>
      <c r="AA330" s="90"/>
      <c r="AB330" s="90"/>
      <c r="AC330" s="97" t="s">
        <v>1111</v>
      </c>
      <c r="AD330" s="97" t="s">
        <v>1289</v>
      </c>
      <c r="AE330" s="90" t="b">
        <v>0</v>
      </c>
      <c r="AF330" s="90">
        <v>2</v>
      </c>
      <c r="AG330" s="97" t="s">
        <v>1404</v>
      </c>
      <c r="AH330" s="90" t="b">
        <v>0</v>
      </c>
      <c r="AI330" s="90" t="s">
        <v>1442</v>
      </c>
      <c r="AJ330" s="90"/>
      <c r="AK330" s="97" t="s">
        <v>1338</v>
      </c>
      <c r="AL330" s="90" t="b">
        <v>0</v>
      </c>
      <c r="AM330" s="90">
        <v>0</v>
      </c>
      <c r="AN330" s="97" t="s">
        <v>1338</v>
      </c>
      <c r="AO330" s="97" t="s">
        <v>1451</v>
      </c>
      <c r="AP330" s="90" t="b">
        <v>0</v>
      </c>
      <c r="AQ330" s="97" t="s">
        <v>1289</v>
      </c>
      <c r="AR330" s="90" t="s">
        <v>187</v>
      </c>
      <c r="AS330" s="90">
        <v>0</v>
      </c>
      <c r="AT330" s="90">
        <v>0</v>
      </c>
      <c r="AU330" s="90"/>
      <c r="AV330" s="90"/>
      <c r="AW330" s="90"/>
      <c r="AX330" s="90"/>
      <c r="AY330" s="90"/>
      <c r="AZ330" s="90"/>
      <c r="BA330" s="90"/>
      <c r="BB330" s="90"/>
      <c r="BC330">
        <v>1</v>
      </c>
      <c r="BD330" s="89" t="str">
        <f>REPLACE(INDEX(GroupVertices[Group],MATCH(Edges[[#This Row],[Vertex 1]],GroupVertices[Vertex],0)),1,1,"")</f>
        <v>2</v>
      </c>
      <c r="BE330" s="89" t="str">
        <f>REPLACE(INDEX(GroupVertices[Group],MATCH(Edges[[#This Row],[Vertex 2]],GroupVertices[Vertex],0)),1,1,"")</f>
        <v>2</v>
      </c>
      <c r="BF330" s="49"/>
      <c r="BG330" s="50"/>
      <c r="BH330" s="49"/>
      <c r="BI330" s="50"/>
      <c r="BJ330" s="49"/>
      <c r="BK330" s="50"/>
      <c r="BL330" s="49"/>
      <c r="BM330" s="50"/>
      <c r="BN330" s="49"/>
    </row>
    <row r="331" spans="1:66" ht="15">
      <c r="A331" s="65" t="s">
        <v>323</v>
      </c>
      <c r="B331" s="65" t="s">
        <v>323</v>
      </c>
      <c r="C331" s="66" t="s">
        <v>5817</v>
      </c>
      <c r="D331" s="67">
        <v>1</v>
      </c>
      <c r="E331" s="68" t="s">
        <v>132</v>
      </c>
      <c r="F331" s="69">
        <v>32</v>
      </c>
      <c r="G331" s="66" t="s">
        <v>51</v>
      </c>
      <c r="H331" s="70"/>
      <c r="I331" s="71"/>
      <c r="J331" s="71"/>
      <c r="K331" s="35" t="s">
        <v>65</v>
      </c>
      <c r="L331" s="79">
        <v>331</v>
      </c>
      <c r="M331" s="79"/>
      <c r="N331" s="73"/>
      <c r="O331" s="90" t="s">
        <v>187</v>
      </c>
      <c r="P331" s="93">
        <v>44531.358252314814</v>
      </c>
      <c r="Q331" s="90" t="s">
        <v>630</v>
      </c>
      <c r="R331" s="90"/>
      <c r="S331" s="90"/>
      <c r="T331" s="90"/>
      <c r="U331" s="90"/>
      <c r="V331" s="96" t="str">
        <f>HYPERLINK("https://pbs.twimg.com/profile_images/1457628999551700996/bXeOcT0h_normal.jpg")</f>
        <v>https://pbs.twimg.com/profile_images/1457628999551700996/bXeOcT0h_normal.jpg</v>
      </c>
      <c r="W331" s="93">
        <v>44531.358252314814</v>
      </c>
      <c r="X331" s="100">
        <v>44531</v>
      </c>
      <c r="Y331" s="97" t="s">
        <v>860</v>
      </c>
      <c r="Z331" s="96" t="str">
        <f>HYPERLINK("https://twitter.com/koala79124457/status/1465962846676733954")</f>
        <v>https://twitter.com/koala79124457/status/1465962846676733954</v>
      </c>
      <c r="AA331" s="90"/>
      <c r="AB331" s="90"/>
      <c r="AC331" s="97" t="s">
        <v>1112</v>
      </c>
      <c r="AD331" s="90"/>
      <c r="AE331" s="90" t="b">
        <v>0</v>
      </c>
      <c r="AF331" s="90">
        <v>18</v>
      </c>
      <c r="AG331" s="97" t="s">
        <v>1338</v>
      </c>
      <c r="AH331" s="90" t="b">
        <v>0</v>
      </c>
      <c r="AI331" s="90" t="s">
        <v>1442</v>
      </c>
      <c r="AJ331" s="90"/>
      <c r="AK331" s="97" t="s">
        <v>1338</v>
      </c>
      <c r="AL331" s="90" t="b">
        <v>0</v>
      </c>
      <c r="AM331" s="90">
        <v>1</v>
      </c>
      <c r="AN331" s="97" t="s">
        <v>1338</v>
      </c>
      <c r="AO331" s="97" t="s">
        <v>1451</v>
      </c>
      <c r="AP331" s="90" t="b">
        <v>0</v>
      </c>
      <c r="AQ331" s="97" t="s">
        <v>1112</v>
      </c>
      <c r="AR331" s="90" t="s">
        <v>187</v>
      </c>
      <c r="AS331" s="90">
        <v>0</v>
      </c>
      <c r="AT331" s="90">
        <v>0</v>
      </c>
      <c r="AU331" s="90"/>
      <c r="AV331" s="90"/>
      <c r="AW331" s="90"/>
      <c r="AX331" s="90"/>
      <c r="AY331" s="90"/>
      <c r="AZ331" s="90"/>
      <c r="BA331" s="90"/>
      <c r="BB331" s="90"/>
      <c r="BC331">
        <v>1</v>
      </c>
      <c r="BD331" s="89" t="str">
        <f>REPLACE(INDEX(GroupVertices[Group],MATCH(Edges[[#This Row],[Vertex 1]],GroupVertices[Vertex],0)),1,1,"")</f>
        <v>3</v>
      </c>
      <c r="BE331" s="89" t="str">
        <f>REPLACE(INDEX(GroupVertices[Group],MATCH(Edges[[#This Row],[Vertex 2]],GroupVertices[Vertex],0)),1,1,"")</f>
        <v>3</v>
      </c>
      <c r="BF331" s="49">
        <v>0</v>
      </c>
      <c r="BG331" s="50">
        <v>0</v>
      </c>
      <c r="BH331" s="49">
        <v>0</v>
      </c>
      <c r="BI331" s="50">
        <v>0</v>
      </c>
      <c r="BJ331" s="49">
        <v>0</v>
      </c>
      <c r="BK331" s="50">
        <v>0</v>
      </c>
      <c r="BL331" s="49">
        <v>29</v>
      </c>
      <c r="BM331" s="50">
        <v>100</v>
      </c>
      <c r="BN331" s="49">
        <v>29</v>
      </c>
    </row>
    <row r="332" spans="1:66" ht="15">
      <c r="A332" s="65" t="s">
        <v>324</v>
      </c>
      <c r="B332" s="65" t="s">
        <v>323</v>
      </c>
      <c r="C332" s="66" t="s">
        <v>5817</v>
      </c>
      <c r="D332" s="67">
        <v>1</v>
      </c>
      <c r="E332" s="68" t="s">
        <v>132</v>
      </c>
      <c r="F332" s="69">
        <v>32</v>
      </c>
      <c r="G332" s="66" t="s">
        <v>51</v>
      </c>
      <c r="H332" s="70"/>
      <c r="I332" s="71"/>
      <c r="J332" s="71"/>
      <c r="K332" s="35" t="s">
        <v>65</v>
      </c>
      <c r="L332" s="79">
        <v>332</v>
      </c>
      <c r="M332" s="79"/>
      <c r="N332" s="73"/>
      <c r="O332" s="90" t="s">
        <v>522</v>
      </c>
      <c r="P332" s="93">
        <v>44531.550416666665</v>
      </c>
      <c r="Q332" s="90" t="s">
        <v>630</v>
      </c>
      <c r="R332" s="90"/>
      <c r="S332" s="90"/>
      <c r="T332" s="90"/>
      <c r="U332" s="90"/>
      <c r="V332" s="96" t="str">
        <f>HYPERLINK("https://pbs.twimg.com/profile_images/1448989980580319232/mOJ-66Ys_normal.jpg")</f>
        <v>https://pbs.twimg.com/profile_images/1448989980580319232/mOJ-66Ys_normal.jpg</v>
      </c>
      <c r="W332" s="93">
        <v>44531.550416666665</v>
      </c>
      <c r="X332" s="100">
        <v>44531</v>
      </c>
      <c r="Y332" s="97" t="s">
        <v>861</v>
      </c>
      <c r="Z332" s="96" t="str">
        <f>HYPERLINK("https://twitter.com/mmaitoparta/status/1466032484903178242")</f>
        <v>https://twitter.com/mmaitoparta/status/1466032484903178242</v>
      </c>
      <c r="AA332" s="90"/>
      <c r="AB332" s="90"/>
      <c r="AC332" s="97" t="s">
        <v>1113</v>
      </c>
      <c r="AD332" s="90"/>
      <c r="AE332" s="90" t="b">
        <v>0</v>
      </c>
      <c r="AF332" s="90">
        <v>0</v>
      </c>
      <c r="AG332" s="97" t="s">
        <v>1338</v>
      </c>
      <c r="AH332" s="90" t="b">
        <v>0</v>
      </c>
      <c r="AI332" s="90" t="s">
        <v>1442</v>
      </c>
      <c r="AJ332" s="90"/>
      <c r="AK332" s="97" t="s">
        <v>1338</v>
      </c>
      <c r="AL332" s="90" t="b">
        <v>0</v>
      </c>
      <c r="AM332" s="90">
        <v>1</v>
      </c>
      <c r="AN332" s="97" t="s">
        <v>1112</v>
      </c>
      <c r="AO332" s="97" t="s">
        <v>1452</v>
      </c>
      <c r="AP332" s="90" t="b">
        <v>0</v>
      </c>
      <c r="AQ332" s="97" t="s">
        <v>1112</v>
      </c>
      <c r="AR332" s="90" t="s">
        <v>187</v>
      </c>
      <c r="AS332" s="90">
        <v>0</v>
      </c>
      <c r="AT332" s="90">
        <v>0</v>
      </c>
      <c r="AU332" s="90"/>
      <c r="AV332" s="90"/>
      <c r="AW332" s="90"/>
      <c r="AX332" s="90"/>
      <c r="AY332" s="90"/>
      <c r="AZ332" s="90"/>
      <c r="BA332" s="90"/>
      <c r="BB332" s="90"/>
      <c r="BC332">
        <v>1</v>
      </c>
      <c r="BD332" s="89" t="str">
        <f>REPLACE(INDEX(GroupVertices[Group],MATCH(Edges[[#This Row],[Vertex 1]],GroupVertices[Vertex],0)),1,1,"")</f>
        <v>3</v>
      </c>
      <c r="BE332" s="89" t="str">
        <f>REPLACE(INDEX(GroupVertices[Group],MATCH(Edges[[#This Row],[Vertex 2]],GroupVertices[Vertex],0)),1,1,"")</f>
        <v>3</v>
      </c>
      <c r="BF332" s="49">
        <v>0</v>
      </c>
      <c r="BG332" s="50">
        <v>0</v>
      </c>
      <c r="BH332" s="49">
        <v>0</v>
      </c>
      <c r="BI332" s="50">
        <v>0</v>
      </c>
      <c r="BJ332" s="49">
        <v>0</v>
      </c>
      <c r="BK332" s="50">
        <v>0</v>
      </c>
      <c r="BL332" s="49">
        <v>29</v>
      </c>
      <c r="BM332" s="50">
        <v>100</v>
      </c>
      <c r="BN332" s="49">
        <v>29</v>
      </c>
    </row>
    <row r="333" spans="1:66" ht="15">
      <c r="A333" s="65" t="s">
        <v>325</v>
      </c>
      <c r="B333" s="65" t="s">
        <v>356</v>
      </c>
      <c r="C333" s="66" t="s">
        <v>5817</v>
      </c>
      <c r="D333" s="67">
        <v>1</v>
      </c>
      <c r="E333" s="68" t="s">
        <v>132</v>
      </c>
      <c r="F333" s="69">
        <v>32</v>
      </c>
      <c r="G333" s="66" t="s">
        <v>51</v>
      </c>
      <c r="H333" s="70"/>
      <c r="I333" s="71"/>
      <c r="J333" s="71"/>
      <c r="K333" s="35" t="s">
        <v>65</v>
      </c>
      <c r="L333" s="79">
        <v>333</v>
      </c>
      <c r="M333" s="79"/>
      <c r="N333" s="73"/>
      <c r="O333" s="90" t="s">
        <v>522</v>
      </c>
      <c r="P333" s="93">
        <v>44531.55454861111</v>
      </c>
      <c r="Q333" s="90" t="s">
        <v>583</v>
      </c>
      <c r="R333" s="96" t="str">
        <f>HYPERLINK("https://twitter.com/KorpinenLaura/status/1465773688918364174")</f>
        <v>https://twitter.com/KorpinenLaura/status/1465773688918364174</v>
      </c>
      <c r="S333" s="90" t="s">
        <v>693</v>
      </c>
      <c r="T333" s="97" t="s">
        <v>712</v>
      </c>
      <c r="U333" s="90"/>
      <c r="V333" s="96" t="str">
        <f>HYPERLINK("https://pbs.twimg.com/profile_images/1436434198991151130/N-Qf5CiO_normal.jpg")</f>
        <v>https://pbs.twimg.com/profile_images/1436434198991151130/N-Qf5CiO_normal.jpg</v>
      </c>
      <c r="W333" s="93">
        <v>44531.55454861111</v>
      </c>
      <c r="X333" s="100">
        <v>44531</v>
      </c>
      <c r="Y333" s="97" t="s">
        <v>862</v>
      </c>
      <c r="Z333" s="96" t="str">
        <f>HYPERLINK("https://twitter.com/akimiettinen1/status/1466033982492090374")</f>
        <v>https://twitter.com/akimiettinen1/status/1466033982492090374</v>
      </c>
      <c r="AA333" s="90"/>
      <c r="AB333" s="90"/>
      <c r="AC333" s="97" t="s">
        <v>1114</v>
      </c>
      <c r="AD333" s="90"/>
      <c r="AE333" s="90" t="b">
        <v>0</v>
      </c>
      <c r="AF333" s="90">
        <v>0</v>
      </c>
      <c r="AG333" s="97" t="s">
        <v>1338</v>
      </c>
      <c r="AH333" s="90" t="b">
        <v>1</v>
      </c>
      <c r="AI333" s="90" t="s">
        <v>1442</v>
      </c>
      <c r="AJ333" s="90"/>
      <c r="AK333" s="97" t="s">
        <v>1301</v>
      </c>
      <c r="AL333" s="90" t="b">
        <v>0</v>
      </c>
      <c r="AM333" s="90">
        <v>10</v>
      </c>
      <c r="AN333" s="97" t="s">
        <v>1171</v>
      </c>
      <c r="AO333" s="97" t="s">
        <v>1452</v>
      </c>
      <c r="AP333" s="90" t="b">
        <v>0</v>
      </c>
      <c r="AQ333" s="97" t="s">
        <v>1171</v>
      </c>
      <c r="AR333" s="90" t="s">
        <v>187</v>
      </c>
      <c r="AS333" s="90">
        <v>0</v>
      </c>
      <c r="AT333" s="90">
        <v>0</v>
      </c>
      <c r="AU333" s="90"/>
      <c r="AV333" s="90"/>
      <c r="AW333" s="90"/>
      <c r="AX333" s="90"/>
      <c r="AY333" s="90"/>
      <c r="AZ333" s="90"/>
      <c r="BA333" s="90"/>
      <c r="BB333" s="90"/>
      <c r="BC333">
        <v>1</v>
      </c>
      <c r="BD333" s="89" t="str">
        <f>REPLACE(INDEX(GroupVertices[Group],MATCH(Edges[[#This Row],[Vertex 1]],GroupVertices[Vertex],0)),1,1,"")</f>
        <v>1</v>
      </c>
      <c r="BE333" s="89" t="str">
        <f>REPLACE(INDEX(GroupVertices[Group],MATCH(Edges[[#This Row],[Vertex 2]],GroupVertices[Vertex],0)),1,1,"")</f>
        <v>1</v>
      </c>
      <c r="BF333" s="49">
        <v>0</v>
      </c>
      <c r="BG333" s="50">
        <v>0</v>
      </c>
      <c r="BH333" s="49">
        <v>0</v>
      </c>
      <c r="BI333" s="50">
        <v>0</v>
      </c>
      <c r="BJ333" s="49">
        <v>0</v>
      </c>
      <c r="BK333" s="50">
        <v>0</v>
      </c>
      <c r="BL333" s="49">
        <v>16</v>
      </c>
      <c r="BM333" s="50">
        <v>100</v>
      </c>
      <c r="BN333" s="49">
        <v>16</v>
      </c>
    </row>
    <row r="334" spans="1:66" ht="15">
      <c r="A334" s="65" t="s">
        <v>326</v>
      </c>
      <c r="B334" s="65" t="s">
        <v>430</v>
      </c>
      <c r="C334" s="66" t="s">
        <v>5817</v>
      </c>
      <c r="D334" s="67">
        <v>1</v>
      </c>
      <c r="E334" s="68" t="s">
        <v>132</v>
      </c>
      <c r="F334" s="69">
        <v>32</v>
      </c>
      <c r="G334" s="66" t="s">
        <v>51</v>
      </c>
      <c r="H334" s="70"/>
      <c r="I334" s="71"/>
      <c r="J334" s="71"/>
      <c r="K334" s="35" t="s">
        <v>65</v>
      </c>
      <c r="L334" s="79">
        <v>334</v>
      </c>
      <c r="M334" s="79"/>
      <c r="N334" s="73"/>
      <c r="O334" s="90" t="s">
        <v>525</v>
      </c>
      <c r="P334" s="93">
        <v>44531.58787037037</v>
      </c>
      <c r="Q334" s="90" t="s">
        <v>576</v>
      </c>
      <c r="R334" s="90"/>
      <c r="S334" s="90"/>
      <c r="T334" s="97" t="s">
        <v>712</v>
      </c>
      <c r="U334" s="96" t="str">
        <f>HYPERLINK("https://pbs.twimg.com/media/FFc5qVTVQAkWXE2.jpg")</f>
        <v>https://pbs.twimg.com/media/FFc5qVTVQAkWXE2.jpg</v>
      </c>
      <c r="V334" s="96" t="str">
        <f>HYPERLINK("https://pbs.twimg.com/media/FFc5qVTVQAkWXE2.jpg")</f>
        <v>https://pbs.twimg.com/media/FFc5qVTVQAkWXE2.jpg</v>
      </c>
      <c r="W334" s="93">
        <v>44531.58787037037</v>
      </c>
      <c r="X334" s="100">
        <v>44531</v>
      </c>
      <c r="Y334" s="97" t="s">
        <v>863</v>
      </c>
      <c r="Z334" s="96" t="str">
        <f>HYPERLINK("https://twitter.com/katrintviitit/status/1466046058350489606")</f>
        <v>https://twitter.com/katrintviitit/status/1466046058350489606</v>
      </c>
      <c r="AA334" s="90"/>
      <c r="AB334" s="90"/>
      <c r="AC334" s="97" t="s">
        <v>1115</v>
      </c>
      <c r="AD334" s="90"/>
      <c r="AE334" s="90" t="b">
        <v>0</v>
      </c>
      <c r="AF334" s="90">
        <v>0</v>
      </c>
      <c r="AG334" s="97" t="s">
        <v>1338</v>
      </c>
      <c r="AH334" s="90" t="b">
        <v>0</v>
      </c>
      <c r="AI334" s="90" t="s">
        <v>1442</v>
      </c>
      <c r="AJ334" s="90"/>
      <c r="AK334" s="97" t="s">
        <v>1338</v>
      </c>
      <c r="AL334" s="90" t="b">
        <v>0</v>
      </c>
      <c r="AM334" s="90">
        <v>18</v>
      </c>
      <c r="AN334" s="97" t="s">
        <v>1196</v>
      </c>
      <c r="AO334" s="97" t="s">
        <v>1451</v>
      </c>
      <c r="AP334" s="90" t="b">
        <v>0</v>
      </c>
      <c r="AQ334" s="97" t="s">
        <v>1196</v>
      </c>
      <c r="AR334" s="90" t="s">
        <v>187</v>
      </c>
      <c r="AS334" s="90">
        <v>0</v>
      </c>
      <c r="AT334" s="90">
        <v>0</v>
      </c>
      <c r="AU334" s="90"/>
      <c r="AV334" s="90"/>
      <c r="AW334" s="90"/>
      <c r="AX334" s="90"/>
      <c r="AY334" s="90"/>
      <c r="AZ334" s="90"/>
      <c r="BA334" s="90"/>
      <c r="BB334" s="90"/>
      <c r="BC334">
        <v>1</v>
      </c>
      <c r="BD334" s="89" t="str">
        <f>REPLACE(INDEX(GroupVertices[Group],MATCH(Edges[[#This Row],[Vertex 1]],GroupVertices[Vertex],0)),1,1,"")</f>
        <v>3</v>
      </c>
      <c r="BE334" s="89" t="str">
        <f>REPLACE(INDEX(GroupVertices[Group],MATCH(Edges[[#This Row],[Vertex 2]],GroupVertices[Vertex],0)),1,1,"")</f>
        <v>3</v>
      </c>
      <c r="BF334" s="49"/>
      <c r="BG334" s="50"/>
      <c r="BH334" s="49"/>
      <c r="BI334" s="50"/>
      <c r="BJ334" s="49"/>
      <c r="BK334" s="50"/>
      <c r="BL334" s="49"/>
      <c r="BM334" s="50"/>
      <c r="BN334" s="49"/>
    </row>
    <row r="335" spans="1:66" ht="15">
      <c r="A335" s="65" t="s">
        <v>326</v>
      </c>
      <c r="B335" s="65" t="s">
        <v>431</v>
      </c>
      <c r="C335" s="66" t="s">
        <v>5817</v>
      </c>
      <c r="D335" s="67">
        <v>1</v>
      </c>
      <c r="E335" s="68" t="s">
        <v>132</v>
      </c>
      <c r="F335" s="69">
        <v>32</v>
      </c>
      <c r="G335" s="66" t="s">
        <v>51</v>
      </c>
      <c r="H335" s="70"/>
      <c r="I335" s="71"/>
      <c r="J335" s="71"/>
      <c r="K335" s="35" t="s">
        <v>65</v>
      </c>
      <c r="L335" s="79">
        <v>335</v>
      </c>
      <c r="M335" s="79"/>
      <c r="N335" s="73"/>
      <c r="O335" s="90" t="s">
        <v>525</v>
      </c>
      <c r="P335" s="93">
        <v>44531.58787037037</v>
      </c>
      <c r="Q335" s="90" t="s">
        <v>576</v>
      </c>
      <c r="R335" s="90"/>
      <c r="S335" s="90"/>
      <c r="T335" s="97" t="s">
        <v>712</v>
      </c>
      <c r="U335" s="96" t="str">
        <f>HYPERLINK("https://pbs.twimg.com/media/FFc5qVTVQAkWXE2.jpg")</f>
        <v>https://pbs.twimg.com/media/FFc5qVTVQAkWXE2.jpg</v>
      </c>
      <c r="V335" s="96" t="str">
        <f>HYPERLINK("https://pbs.twimg.com/media/FFc5qVTVQAkWXE2.jpg")</f>
        <v>https://pbs.twimg.com/media/FFc5qVTVQAkWXE2.jpg</v>
      </c>
      <c r="W335" s="93">
        <v>44531.58787037037</v>
      </c>
      <c r="X335" s="100">
        <v>44531</v>
      </c>
      <c r="Y335" s="97" t="s">
        <v>863</v>
      </c>
      <c r="Z335" s="96" t="str">
        <f>HYPERLINK("https://twitter.com/katrintviitit/status/1466046058350489606")</f>
        <v>https://twitter.com/katrintviitit/status/1466046058350489606</v>
      </c>
      <c r="AA335" s="90"/>
      <c r="AB335" s="90"/>
      <c r="AC335" s="97" t="s">
        <v>1115</v>
      </c>
      <c r="AD335" s="90"/>
      <c r="AE335" s="90" t="b">
        <v>0</v>
      </c>
      <c r="AF335" s="90">
        <v>0</v>
      </c>
      <c r="AG335" s="97" t="s">
        <v>1338</v>
      </c>
      <c r="AH335" s="90" t="b">
        <v>0</v>
      </c>
      <c r="AI335" s="90" t="s">
        <v>1442</v>
      </c>
      <c r="AJ335" s="90"/>
      <c r="AK335" s="97" t="s">
        <v>1338</v>
      </c>
      <c r="AL335" s="90" t="b">
        <v>0</v>
      </c>
      <c r="AM335" s="90">
        <v>18</v>
      </c>
      <c r="AN335" s="97" t="s">
        <v>1196</v>
      </c>
      <c r="AO335" s="97" t="s">
        <v>1451</v>
      </c>
      <c r="AP335" s="90" t="b">
        <v>0</v>
      </c>
      <c r="AQ335" s="97" t="s">
        <v>1196</v>
      </c>
      <c r="AR335" s="90" t="s">
        <v>187</v>
      </c>
      <c r="AS335" s="90">
        <v>0</v>
      </c>
      <c r="AT335" s="90">
        <v>0</v>
      </c>
      <c r="AU335" s="90"/>
      <c r="AV335" s="90"/>
      <c r="AW335" s="90"/>
      <c r="AX335" s="90"/>
      <c r="AY335" s="90"/>
      <c r="AZ335" s="90"/>
      <c r="BA335" s="90"/>
      <c r="BB335" s="90"/>
      <c r="BC335">
        <v>1</v>
      </c>
      <c r="BD335" s="89" t="str">
        <f>REPLACE(INDEX(GroupVertices[Group],MATCH(Edges[[#This Row],[Vertex 1]],GroupVertices[Vertex],0)),1,1,"")</f>
        <v>3</v>
      </c>
      <c r="BE335" s="89" t="str">
        <f>REPLACE(INDEX(GroupVertices[Group],MATCH(Edges[[#This Row],[Vertex 2]],GroupVertices[Vertex],0)),1,1,"")</f>
        <v>3</v>
      </c>
      <c r="BF335" s="49"/>
      <c r="BG335" s="50"/>
      <c r="BH335" s="49"/>
      <c r="BI335" s="50"/>
      <c r="BJ335" s="49"/>
      <c r="BK335" s="50"/>
      <c r="BL335" s="49"/>
      <c r="BM335" s="50"/>
      <c r="BN335" s="49"/>
    </row>
    <row r="336" spans="1:66" ht="15">
      <c r="A336" s="65" t="s">
        <v>326</v>
      </c>
      <c r="B336" s="65" t="s">
        <v>368</v>
      </c>
      <c r="C336" s="66" t="s">
        <v>5817</v>
      </c>
      <c r="D336" s="67">
        <v>1</v>
      </c>
      <c r="E336" s="68" t="s">
        <v>132</v>
      </c>
      <c r="F336" s="69">
        <v>32</v>
      </c>
      <c r="G336" s="66" t="s">
        <v>51</v>
      </c>
      <c r="H336" s="70"/>
      <c r="I336" s="71"/>
      <c r="J336" s="71"/>
      <c r="K336" s="35" t="s">
        <v>65</v>
      </c>
      <c r="L336" s="79">
        <v>336</v>
      </c>
      <c r="M336" s="79"/>
      <c r="N336" s="73"/>
      <c r="O336" s="90" t="s">
        <v>522</v>
      </c>
      <c r="P336" s="93">
        <v>44531.58787037037</v>
      </c>
      <c r="Q336" s="90" t="s">
        <v>576</v>
      </c>
      <c r="R336" s="90"/>
      <c r="S336" s="90"/>
      <c r="T336" s="97" t="s">
        <v>712</v>
      </c>
      <c r="U336" s="96" t="str">
        <f>HYPERLINK("https://pbs.twimg.com/media/FFc5qVTVQAkWXE2.jpg")</f>
        <v>https://pbs.twimg.com/media/FFc5qVTVQAkWXE2.jpg</v>
      </c>
      <c r="V336" s="96" t="str">
        <f>HYPERLINK("https://pbs.twimg.com/media/FFc5qVTVQAkWXE2.jpg")</f>
        <v>https://pbs.twimg.com/media/FFc5qVTVQAkWXE2.jpg</v>
      </c>
      <c r="W336" s="93">
        <v>44531.58787037037</v>
      </c>
      <c r="X336" s="100">
        <v>44531</v>
      </c>
      <c r="Y336" s="97" t="s">
        <v>863</v>
      </c>
      <c r="Z336" s="96" t="str">
        <f>HYPERLINK("https://twitter.com/katrintviitit/status/1466046058350489606")</f>
        <v>https://twitter.com/katrintviitit/status/1466046058350489606</v>
      </c>
      <c r="AA336" s="90"/>
      <c r="AB336" s="90"/>
      <c r="AC336" s="97" t="s">
        <v>1115</v>
      </c>
      <c r="AD336" s="90"/>
      <c r="AE336" s="90" t="b">
        <v>0</v>
      </c>
      <c r="AF336" s="90">
        <v>0</v>
      </c>
      <c r="AG336" s="97" t="s">
        <v>1338</v>
      </c>
      <c r="AH336" s="90" t="b">
        <v>0</v>
      </c>
      <c r="AI336" s="90" t="s">
        <v>1442</v>
      </c>
      <c r="AJ336" s="90"/>
      <c r="AK336" s="97" t="s">
        <v>1338</v>
      </c>
      <c r="AL336" s="90" t="b">
        <v>0</v>
      </c>
      <c r="AM336" s="90">
        <v>18</v>
      </c>
      <c r="AN336" s="97" t="s">
        <v>1196</v>
      </c>
      <c r="AO336" s="97" t="s">
        <v>1451</v>
      </c>
      <c r="AP336" s="90" t="b">
        <v>0</v>
      </c>
      <c r="AQ336" s="97" t="s">
        <v>1196</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3</v>
      </c>
      <c r="BE336" s="89" t="str">
        <f>REPLACE(INDEX(GroupVertices[Group],MATCH(Edges[[#This Row],[Vertex 2]],GroupVertices[Vertex],0)),1,1,"")</f>
        <v>3</v>
      </c>
      <c r="BF336" s="49">
        <v>0</v>
      </c>
      <c r="BG336" s="50">
        <v>0</v>
      </c>
      <c r="BH336" s="49">
        <v>0</v>
      </c>
      <c r="BI336" s="50">
        <v>0</v>
      </c>
      <c r="BJ336" s="49">
        <v>0</v>
      </c>
      <c r="BK336" s="50">
        <v>0</v>
      </c>
      <c r="BL336" s="49">
        <v>13</v>
      </c>
      <c r="BM336" s="50">
        <v>100</v>
      </c>
      <c r="BN336" s="49">
        <v>13</v>
      </c>
    </row>
    <row r="337" spans="1:66" ht="15">
      <c r="A337" s="65" t="s">
        <v>327</v>
      </c>
      <c r="B337" s="65" t="s">
        <v>461</v>
      </c>
      <c r="C337" s="66" t="s">
        <v>5817</v>
      </c>
      <c r="D337" s="67">
        <v>1</v>
      </c>
      <c r="E337" s="68" t="s">
        <v>132</v>
      </c>
      <c r="F337" s="69">
        <v>32</v>
      </c>
      <c r="G337" s="66" t="s">
        <v>51</v>
      </c>
      <c r="H337" s="70"/>
      <c r="I337" s="71"/>
      <c r="J337" s="71"/>
      <c r="K337" s="35" t="s">
        <v>65</v>
      </c>
      <c r="L337" s="79">
        <v>337</v>
      </c>
      <c r="M337" s="79"/>
      <c r="N337" s="73"/>
      <c r="O337" s="90" t="s">
        <v>523</v>
      </c>
      <c r="P337" s="93">
        <v>44531.27915509259</v>
      </c>
      <c r="Q337" s="90" t="s">
        <v>631</v>
      </c>
      <c r="R337" s="90"/>
      <c r="S337" s="90"/>
      <c r="T337" s="90"/>
      <c r="U337" s="90"/>
      <c r="V337" s="96" t="str">
        <f>HYPERLINK("https://pbs.twimg.com/profile_images/1409773292609736706/7jowHlKn_normal.jpg")</f>
        <v>https://pbs.twimg.com/profile_images/1409773292609736706/7jowHlKn_normal.jpg</v>
      </c>
      <c r="W337" s="93">
        <v>44531.27915509259</v>
      </c>
      <c r="X337" s="100">
        <v>44531</v>
      </c>
      <c r="Y337" s="97" t="s">
        <v>864</v>
      </c>
      <c r="Z337" s="96" t="str">
        <f>HYPERLINK("https://twitter.com/sekoomus/status/1465934184183119874")</f>
        <v>https://twitter.com/sekoomus/status/1465934184183119874</v>
      </c>
      <c r="AA337" s="90"/>
      <c r="AB337" s="90"/>
      <c r="AC337" s="97" t="s">
        <v>1116</v>
      </c>
      <c r="AD337" s="97" t="s">
        <v>1290</v>
      </c>
      <c r="AE337" s="90" t="b">
        <v>0</v>
      </c>
      <c r="AF337" s="90">
        <v>1</v>
      </c>
      <c r="AG337" s="97" t="s">
        <v>1371</v>
      </c>
      <c r="AH337" s="90" t="b">
        <v>0</v>
      </c>
      <c r="AI337" s="90" t="s">
        <v>1442</v>
      </c>
      <c r="AJ337" s="90"/>
      <c r="AK337" s="97" t="s">
        <v>1338</v>
      </c>
      <c r="AL337" s="90" t="b">
        <v>0</v>
      </c>
      <c r="AM337" s="90">
        <v>0</v>
      </c>
      <c r="AN337" s="97" t="s">
        <v>1338</v>
      </c>
      <c r="AO337" s="97" t="s">
        <v>1450</v>
      </c>
      <c r="AP337" s="90" t="b">
        <v>0</v>
      </c>
      <c r="AQ337" s="97" t="s">
        <v>1290</v>
      </c>
      <c r="AR337" s="90" t="s">
        <v>187</v>
      </c>
      <c r="AS337" s="90">
        <v>0</v>
      </c>
      <c r="AT337" s="90">
        <v>0</v>
      </c>
      <c r="AU337" s="90"/>
      <c r="AV337" s="90"/>
      <c r="AW337" s="90"/>
      <c r="AX337" s="90"/>
      <c r="AY337" s="90"/>
      <c r="AZ337" s="90"/>
      <c r="BA337" s="90"/>
      <c r="BB337" s="90"/>
      <c r="BC337">
        <v>1</v>
      </c>
      <c r="BD337" s="89" t="str">
        <f>REPLACE(INDEX(GroupVertices[Group],MATCH(Edges[[#This Row],[Vertex 1]],GroupVertices[Vertex],0)),1,1,"")</f>
        <v>18</v>
      </c>
      <c r="BE337" s="89" t="str">
        <f>REPLACE(INDEX(GroupVertices[Group],MATCH(Edges[[#This Row],[Vertex 2]],GroupVertices[Vertex],0)),1,1,"")</f>
        <v>18</v>
      </c>
      <c r="BF337" s="49">
        <v>0</v>
      </c>
      <c r="BG337" s="50">
        <v>0</v>
      </c>
      <c r="BH337" s="49">
        <v>0</v>
      </c>
      <c r="BI337" s="50">
        <v>0</v>
      </c>
      <c r="BJ337" s="49">
        <v>0</v>
      </c>
      <c r="BK337" s="50">
        <v>0</v>
      </c>
      <c r="BL337" s="49">
        <v>37</v>
      </c>
      <c r="BM337" s="50">
        <v>100</v>
      </c>
      <c r="BN337" s="49">
        <v>37</v>
      </c>
    </row>
    <row r="338" spans="1:66" ht="15">
      <c r="A338" s="65" t="s">
        <v>328</v>
      </c>
      <c r="B338" s="65" t="s">
        <v>461</v>
      </c>
      <c r="C338" s="66" t="s">
        <v>5817</v>
      </c>
      <c r="D338" s="67">
        <v>1</v>
      </c>
      <c r="E338" s="68" t="s">
        <v>132</v>
      </c>
      <c r="F338" s="69">
        <v>32</v>
      </c>
      <c r="G338" s="66" t="s">
        <v>51</v>
      </c>
      <c r="H338" s="70"/>
      <c r="I338" s="71"/>
      <c r="J338" s="71"/>
      <c r="K338" s="35" t="s">
        <v>65</v>
      </c>
      <c r="L338" s="79">
        <v>338</v>
      </c>
      <c r="M338" s="79"/>
      <c r="N338" s="73"/>
      <c r="O338" s="90" t="s">
        <v>524</v>
      </c>
      <c r="P338" s="93">
        <v>44531.62826388889</v>
      </c>
      <c r="Q338" s="90" t="s">
        <v>632</v>
      </c>
      <c r="R338" s="90"/>
      <c r="S338" s="90"/>
      <c r="T338" s="90"/>
      <c r="U338" s="90"/>
      <c r="V338" s="96" t="str">
        <f>HYPERLINK("https://abs.twimg.com/sticky/default_profile_images/default_profile_normal.png")</f>
        <v>https://abs.twimg.com/sticky/default_profile_images/default_profile_normal.png</v>
      </c>
      <c r="W338" s="93">
        <v>44531.62826388889</v>
      </c>
      <c r="X338" s="100">
        <v>44531</v>
      </c>
      <c r="Y338" s="97" t="s">
        <v>865</v>
      </c>
      <c r="Z338" s="96" t="str">
        <f>HYPERLINK("https://twitter.com/rope55543770/status/1466060694189752327")</f>
        <v>https://twitter.com/rope55543770/status/1466060694189752327</v>
      </c>
      <c r="AA338" s="90"/>
      <c r="AB338" s="90"/>
      <c r="AC338" s="97" t="s">
        <v>1117</v>
      </c>
      <c r="AD338" s="97" t="s">
        <v>1291</v>
      </c>
      <c r="AE338" s="90" t="b">
        <v>0</v>
      </c>
      <c r="AF338" s="90">
        <v>0</v>
      </c>
      <c r="AG338" s="97" t="s">
        <v>1405</v>
      </c>
      <c r="AH338" s="90" t="b">
        <v>0</v>
      </c>
      <c r="AI338" s="90" t="s">
        <v>1442</v>
      </c>
      <c r="AJ338" s="90"/>
      <c r="AK338" s="97" t="s">
        <v>1338</v>
      </c>
      <c r="AL338" s="90" t="b">
        <v>0</v>
      </c>
      <c r="AM338" s="90">
        <v>0</v>
      </c>
      <c r="AN338" s="97" t="s">
        <v>1338</v>
      </c>
      <c r="AO338" s="97" t="s">
        <v>1452</v>
      </c>
      <c r="AP338" s="90" t="b">
        <v>0</v>
      </c>
      <c r="AQ338" s="97" t="s">
        <v>1291</v>
      </c>
      <c r="AR338" s="90" t="s">
        <v>187</v>
      </c>
      <c r="AS338" s="90">
        <v>0</v>
      </c>
      <c r="AT338" s="90">
        <v>0</v>
      </c>
      <c r="AU338" s="90"/>
      <c r="AV338" s="90"/>
      <c r="AW338" s="90"/>
      <c r="AX338" s="90"/>
      <c r="AY338" s="90"/>
      <c r="AZ338" s="90"/>
      <c r="BA338" s="90"/>
      <c r="BB338" s="90"/>
      <c r="BC338">
        <v>1</v>
      </c>
      <c r="BD338" s="89" t="str">
        <f>REPLACE(INDEX(GroupVertices[Group],MATCH(Edges[[#This Row],[Vertex 1]],GroupVertices[Vertex],0)),1,1,"")</f>
        <v>18</v>
      </c>
      <c r="BE338" s="89" t="str">
        <f>REPLACE(INDEX(GroupVertices[Group],MATCH(Edges[[#This Row],[Vertex 2]],GroupVertices[Vertex],0)),1,1,"")</f>
        <v>18</v>
      </c>
      <c r="BF338" s="49"/>
      <c r="BG338" s="50"/>
      <c r="BH338" s="49"/>
      <c r="BI338" s="50"/>
      <c r="BJ338" s="49"/>
      <c r="BK338" s="50"/>
      <c r="BL338" s="49"/>
      <c r="BM338" s="50"/>
      <c r="BN338" s="49"/>
    </row>
    <row r="339" spans="1:66" ht="15">
      <c r="A339" s="65" t="s">
        <v>328</v>
      </c>
      <c r="B339" s="65" t="s">
        <v>327</v>
      </c>
      <c r="C339" s="66" t="s">
        <v>5817</v>
      </c>
      <c r="D339" s="67">
        <v>1</v>
      </c>
      <c r="E339" s="68" t="s">
        <v>132</v>
      </c>
      <c r="F339" s="69">
        <v>32</v>
      </c>
      <c r="G339" s="66" t="s">
        <v>51</v>
      </c>
      <c r="H339" s="70"/>
      <c r="I339" s="71"/>
      <c r="J339" s="71"/>
      <c r="K339" s="35" t="s">
        <v>65</v>
      </c>
      <c r="L339" s="79">
        <v>339</v>
      </c>
      <c r="M339" s="79"/>
      <c r="N339" s="73"/>
      <c r="O339" s="90" t="s">
        <v>523</v>
      </c>
      <c r="P339" s="93">
        <v>44531.62826388889</v>
      </c>
      <c r="Q339" s="90" t="s">
        <v>632</v>
      </c>
      <c r="R339" s="90"/>
      <c r="S339" s="90"/>
      <c r="T339" s="90"/>
      <c r="U339" s="90"/>
      <c r="V339" s="96" t="str">
        <f>HYPERLINK("https://abs.twimg.com/sticky/default_profile_images/default_profile_normal.png")</f>
        <v>https://abs.twimg.com/sticky/default_profile_images/default_profile_normal.png</v>
      </c>
      <c r="W339" s="93">
        <v>44531.62826388889</v>
      </c>
      <c r="X339" s="100">
        <v>44531</v>
      </c>
      <c r="Y339" s="97" t="s">
        <v>865</v>
      </c>
      <c r="Z339" s="96" t="str">
        <f>HYPERLINK("https://twitter.com/rope55543770/status/1466060694189752327")</f>
        <v>https://twitter.com/rope55543770/status/1466060694189752327</v>
      </c>
      <c r="AA339" s="90"/>
      <c r="AB339" s="90"/>
      <c r="AC339" s="97" t="s">
        <v>1117</v>
      </c>
      <c r="AD339" s="97" t="s">
        <v>1291</v>
      </c>
      <c r="AE339" s="90" t="b">
        <v>0</v>
      </c>
      <c r="AF339" s="90">
        <v>0</v>
      </c>
      <c r="AG339" s="97" t="s">
        <v>1405</v>
      </c>
      <c r="AH339" s="90" t="b">
        <v>0</v>
      </c>
      <c r="AI339" s="90" t="s">
        <v>1442</v>
      </c>
      <c r="AJ339" s="90"/>
      <c r="AK339" s="97" t="s">
        <v>1338</v>
      </c>
      <c r="AL339" s="90" t="b">
        <v>0</v>
      </c>
      <c r="AM339" s="90">
        <v>0</v>
      </c>
      <c r="AN339" s="97" t="s">
        <v>1338</v>
      </c>
      <c r="AO339" s="97" t="s">
        <v>1452</v>
      </c>
      <c r="AP339" s="90" t="b">
        <v>0</v>
      </c>
      <c r="AQ339" s="97" t="s">
        <v>1291</v>
      </c>
      <c r="AR339" s="90" t="s">
        <v>187</v>
      </c>
      <c r="AS339" s="90">
        <v>0</v>
      </c>
      <c r="AT339" s="90">
        <v>0</v>
      </c>
      <c r="AU339" s="90"/>
      <c r="AV339" s="90"/>
      <c r="AW339" s="90"/>
      <c r="AX339" s="90"/>
      <c r="AY339" s="90"/>
      <c r="AZ339" s="90"/>
      <c r="BA339" s="90"/>
      <c r="BB339" s="90"/>
      <c r="BC339">
        <v>1</v>
      </c>
      <c r="BD339" s="89" t="str">
        <f>REPLACE(INDEX(GroupVertices[Group],MATCH(Edges[[#This Row],[Vertex 1]],GroupVertices[Vertex],0)),1,1,"")</f>
        <v>18</v>
      </c>
      <c r="BE339" s="89" t="str">
        <f>REPLACE(INDEX(GroupVertices[Group],MATCH(Edges[[#This Row],[Vertex 2]],GroupVertices[Vertex],0)),1,1,"")</f>
        <v>18</v>
      </c>
      <c r="BF339" s="49">
        <v>0</v>
      </c>
      <c r="BG339" s="50">
        <v>0</v>
      </c>
      <c r="BH339" s="49">
        <v>0</v>
      </c>
      <c r="BI339" s="50">
        <v>0</v>
      </c>
      <c r="BJ339" s="49">
        <v>0</v>
      </c>
      <c r="BK339" s="50">
        <v>0</v>
      </c>
      <c r="BL339" s="49">
        <v>12</v>
      </c>
      <c r="BM339" s="50">
        <v>100</v>
      </c>
      <c r="BN339" s="49">
        <v>12</v>
      </c>
    </row>
    <row r="340" spans="1:66" ht="15">
      <c r="A340" s="65" t="s">
        <v>329</v>
      </c>
      <c r="B340" s="65" t="s">
        <v>478</v>
      </c>
      <c r="C340" s="66" t="s">
        <v>5817</v>
      </c>
      <c r="D340" s="67">
        <v>1</v>
      </c>
      <c r="E340" s="68" t="s">
        <v>132</v>
      </c>
      <c r="F340" s="69">
        <v>32</v>
      </c>
      <c r="G340" s="66" t="s">
        <v>51</v>
      </c>
      <c r="H340" s="70"/>
      <c r="I340" s="71"/>
      <c r="J340" s="71"/>
      <c r="K340" s="35" t="s">
        <v>65</v>
      </c>
      <c r="L340" s="79">
        <v>340</v>
      </c>
      <c r="M340" s="79"/>
      <c r="N340" s="73"/>
      <c r="O340" s="90" t="s">
        <v>524</v>
      </c>
      <c r="P340" s="93">
        <v>44531.67222222222</v>
      </c>
      <c r="Q340" s="90" t="s">
        <v>633</v>
      </c>
      <c r="R340" s="90"/>
      <c r="S340" s="90"/>
      <c r="T340" s="90"/>
      <c r="U340" s="96" t="str">
        <f>HYPERLINK("https://pbs.twimg.com/media/FFiM6nTWYAAwPEK.jpg")</f>
        <v>https://pbs.twimg.com/media/FFiM6nTWYAAwPEK.jpg</v>
      </c>
      <c r="V340" s="96" t="str">
        <f>HYPERLINK("https://pbs.twimg.com/media/FFiM6nTWYAAwPEK.jpg")</f>
        <v>https://pbs.twimg.com/media/FFiM6nTWYAAwPEK.jpg</v>
      </c>
      <c r="W340" s="93">
        <v>44531.67222222222</v>
      </c>
      <c r="X340" s="100">
        <v>44531</v>
      </c>
      <c r="Y340" s="97" t="s">
        <v>866</v>
      </c>
      <c r="Z340" s="96" t="str">
        <f>HYPERLINK("https://twitter.com/ryyppop/status/1466076626177904641")</f>
        <v>https://twitter.com/ryyppop/status/1466076626177904641</v>
      </c>
      <c r="AA340" s="90"/>
      <c r="AB340" s="90"/>
      <c r="AC340" s="97" t="s">
        <v>1118</v>
      </c>
      <c r="AD340" s="97" t="s">
        <v>1292</v>
      </c>
      <c r="AE340" s="90" t="b">
        <v>0</v>
      </c>
      <c r="AF340" s="90">
        <v>0</v>
      </c>
      <c r="AG340" s="97" t="s">
        <v>1406</v>
      </c>
      <c r="AH340" s="90" t="b">
        <v>0</v>
      </c>
      <c r="AI340" s="90" t="s">
        <v>1442</v>
      </c>
      <c r="AJ340" s="90"/>
      <c r="AK340" s="97" t="s">
        <v>1338</v>
      </c>
      <c r="AL340" s="90" t="b">
        <v>0</v>
      </c>
      <c r="AM340" s="90">
        <v>0</v>
      </c>
      <c r="AN340" s="97" t="s">
        <v>1338</v>
      </c>
      <c r="AO340" s="97" t="s">
        <v>1452</v>
      </c>
      <c r="AP340" s="90" t="b">
        <v>0</v>
      </c>
      <c r="AQ340" s="97" t="s">
        <v>1292</v>
      </c>
      <c r="AR340" s="90" t="s">
        <v>187</v>
      </c>
      <c r="AS340" s="90">
        <v>0</v>
      </c>
      <c r="AT340" s="90">
        <v>0</v>
      </c>
      <c r="AU340" s="90"/>
      <c r="AV340" s="90"/>
      <c r="AW340" s="90"/>
      <c r="AX340" s="90"/>
      <c r="AY340" s="90"/>
      <c r="AZ340" s="90"/>
      <c r="BA340" s="90"/>
      <c r="BB340" s="90"/>
      <c r="BC340">
        <v>1</v>
      </c>
      <c r="BD340" s="89" t="str">
        <f>REPLACE(INDEX(GroupVertices[Group],MATCH(Edges[[#This Row],[Vertex 1]],GroupVertices[Vertex],0)),1,1,"")</f>
        <v>2</v>
      </c>
      <c r="BE340" s="89" t="str">
        <f>REPLACE(INDEX(GroupVertices[Group],MATCH(Edges[[#This Row],[Vertex 2]],GroupVertices[Vertex],0)),1,1,"")</f>
        <v>2</v>
      </c>
      <c r="BF340" s="49"/>
      <c r="BG340" s="50"/>
      <c r="BH340" s="49"/>
      <c r="BI340" s="50"/>
      <c r="BJ340" s="49"/>
      <c r="BK340" s="50"/>
      <c r="BL340" s="49"/>
      <c r="BM340" s="50"/>
      <c r="BN340" s="49"/>
    </row>
    <row r="341" spans="1:66" ht="15">
      <c r="A341" s="65" t="s">
        <v>329</v>
      </c>
      <c r="B341" s="65" t="s">
        <v>479</v>
      </c>
      <c r="C341" s="66" t="s">
        <v>5817</v>
      </c>
      <c r="D341" s="67">
        <v>1</v>
      </c>
      <c r="E341" s="68" t="s">
        <v>132</v>
      </c>
      <c r="F341" s="69">
        <v>32</v>
      </c>
      <c r="G341" s="66" t="s">
        <v>51</v>
      </c>
      <c r="H341" s="70"/>
      <c r="I341" s="71"/>
      <c r="J341" s="71"/>
      <c r="K341" s="35" t="s">
        <v>65</v>
      </c>
      <c r="L341" s="79">
        <v>341</v>
      </c>
      <c r="M341" s="79"/>
      <c r="N341" s="73"/>
      <c r="O341" s="90" t="s">
        <v>523</v>
      </c>
      <c r="P341" s="93">
        <v>44531.67222222222</v>
      </c>
      <c r="Q341" s="90" t="s">
        <v>633</v>
      </c>
      <c r="R341" s="90"/>
      <c r="S341" s="90"/>
      <c r="T341" s="90"/>
      <c r="U341" s="96" t="str">
        <f>HYPERLINK("https://pbs.twimg.com/media/FFiM6nTWYAAwPEK.jpg")</f>
        <v>https://pbs.twimg.com/media/FFiM6nTWYAAwPEK.jpg</v>
      </c>
      <c r="V341" s="96" t="str">
        <f>HYPERLINK("https://pbs.twimg.com/media/FFiM6nTWYAAwPEK.jpg")</f>
        <v>https://pbs.twimg.com/media/FFiM6nTWYAAwPEK.jpg</v>
      </c>
      <c r="W341" s="93">
        <v>44531.67222222222</v>
      </c>
      <c r="X341" s="100">
        <v>44531</v>
      </c>
      <c r="Y341" s="97" t="s">
        <v>866</v>
      </c>
      <c r="Z341" s="96" t="str">
        <f>HYPERLINK("https://twitter.com/ryyppop/status/1466076626177904641")</f>
        <v>https://twitter.com/ryyppop/status/1466076626177904641</v>
      </c>
      <c r="AA341" s="90"/>
      <c r="AB341" s="90"/>
      <c r="AC341" s="97" t="s">
        <v>1118</v>
      </c>
      <c r="AD341" s="97" t="s">
        <v>1292</v>
      </c>
      <c r="AE341" s="90" t="b">
        <v>0</v>
      </c>
      <c r="AF341" s="90">
        <v>0</v>
      </c>
      <c r="AG341" s="97" t="s">
        <v>1406</v>
      </c>
      <c r="AH341" s="90" t="b">
        <v>0</v>
      </c>
      <c r="AI341" s="90" t="s">
        <v>1442</v>
      </c>
      <c r="AJ341" s="90"/>
      <c r="AK341" s="97" t="s">
        <v>1338</v>
      </c>
      <c r="AL341" s="90" t="b">
        <v>0</v>
      </c>
      <c r="AM341" s="90">
        <v>0</v>
      </c>
      <c r="AN341" s="97" t="s">
        <v>1338</v>
      </c>
      <c r="AO341" s="97" t="s">
        <v>1452</v>
      </c>
      <c r="AP341" s="90" t="b">
        <v>0</v>
      </c>
      <c r="AQ341" s="97" t="s">
        <v>1292</v>
      </c>
      <c r="AR341" s="90" t="s">
        <v>187</v>
      </c>
      <c r="AS341" s="90">
        <v>0</v>
      </c>
      <c r="AT341" s="90">
        <v>0</v>
      </c>
      <c r="AU341" s="90"/>
      <c r="AV341" s="90"/>
      <c r="AW341" s="90"/>
      <c r="AX341" s="90"/>
      <c r="AY341" s="90"/>
      <c r="AZ341" s="90"/>
      <c r="BA341" s="90"/>
      <c r="BB341" s="90"/>
      <c r="BC341">
        <v>1</v>
      </c>
      <c r="BD341" s="89" t="str">
        <f>REPLACE(INDEX(GroupVertices[Group],MATCH(Edges[[#This Row],[Vertex 1]],GroupVertices[Vertex],0)),1,1,"")</f>
        <v>2</v>
      </c>
      <c r="BE341" s="89" t="str">
        <f>REPLACE(INDEX(GroupVertices[Group],MATCH(Edges[[#This Row],[Vertex 2]],GroupVertices[Vertex],0)),1,1,"")</f>
        <v>2</v>
      </c>
      <c r="BF341" s="49">
        <v>1</v>
      </c>
      <c r="BG341" s="50">
        <v>2.7027027027027026</v>
      </c>
      <c r="BH341" s="49">
        <v>0</v>
      </c>
      <c r="BI341" s="50">
        <v>0</v>
      </c>
      <c r="BJ341" s="49">
        <v>0</v>
      </c>
      <c r="BK341" s="50">
        <v>0</v>
      </c>
      <c r="BL341" s="49">
        <v>36</v>
      </c>
      <c r="BM341" s="50">
        <v>97.29729729729729</v>
      </c>
      <c r="BN341" s="49">
        <v>37</v>
      </c>
    </row>
    <row r="342" spans="1:66" ht="15">
      <c r="A342" s="65" t="s">
        <v>329</v>
      </c>
      <c r="B342" s="65" t="s">
        <v>458</v>
      </c>
      <c r="C342" s="66" t="s">
        <v>5817</v>
      </c>
      <c r="D342" s="67">
        <v>1</v>
      </c>
      <c r="E342" s="68" t="s">
        <v>132</v>
      </c>
      <c r="F342" s="69">
        <v>32</v>
      </c>
      <c r="G342" s="66" t="s">
        <v>51</v>
      </c>
      <c r="H342" s="70"/>
      <c r="I342" s="71"/>
      <c r="J342" s="71"/>
      <c r="K342" s="35" t="s">
        <v>65</v>
      </c>
      <c r="L342" s="79">
        <v>342</v>
      </c>
      <c r="M342" s="79"/>
      <c r="N342" s="73"/>
      <c r="O342" s="90" t="s">
        <v>524</v>
      </c>
      <c r="P342" s="93">
        <v>44531.67222222222</v>
      </c>
      <c r="Q342" s="90" t="s">
        <v>633</v>
      </c>
      <c r="R342" s="90"/>
      <c r="S342" s="90"/>
      <c r="T342" s="90"/>
      <c r="U342" s="96" t="str">
        <f>HYPERLINK("https://pbs.twimg.com/media/FFiM6nTWYAAwPEK.jpg")</f>
        <v>https://pbs.twimg.com/media/FFiM6nTWYAAwPEK.jpg</v>
      </c>
      <c r="V342" s="96" t="str">
        <f>HYPERLINK("https://pbs.twimg.com/media/FFiM6nTWYAAwPEK.jpg")</f>
        <v>https://pbs.twimg.com/media/FFiM6nTWYAAwPEK.jpg</v>
      </c>
      <c r="W342" s="93">
        <v>44531.67222222222</v>
      </c>
      <c r="X342" s="100">
        <v>44531</v>
      </c>
      <c r="Y342" s="97" t="s">
        <v>866</v>
      </c>
      <c r="Z342" s="96" t="str">
        <f>HYPERLINK("https://twitter.com/ryyppop/status/1466076626177904641")</f>
        <v>https://twitter.com/ryyppop/status/1466076626177904641</v>
      </c>
      <c r="AA342" s="90"/>
      <c r="AB342" s="90"/>
      <c r="AC342" s="97" t="s">
        <v>1118</v>
      </c>
      <c r="AD342" s="97" t="s">
        <v>1292</v>
      </c>
      <c r="AE342" s="90" t="b">
        <v>0</v>
      </c>
      <c r="AF342" s="90">
        <v>0</v>
      </c>
      <c r="AG342" s="97" t="s">
        <v>1406</v>
      </c>
      <c r="AH342" s="90" t="b">
        <v>0</v>
      </c>
      <c r="AI342" s="90" t="s">
        <v>1442</v>
      </c>
      <c r="AJ342" s="90"/>
      <c r="AK342" s="97" t="s">
        <v>1338</v>
      </c>
      <c r="AL342" s="90" t="b">
        <v>0</v>
      </c>
      <c r="AM342" s="90">
        <v>0</v>
      </c>
      <c r="AN342" s="97" t="s">
        <v>1338</v>
      </c>
      <c r="AO342" s="97" t="s">
        <v>1452</v>
      </c>
      <c r="AP342" s="90" t="b">
        <v>0</v>
      </c>
      <c r="AQ342" s="97" t="s">
        <v>1292</v>
      </c>
      <c r="AR342" s="90" t="s">
        <v>187</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2</v>
      </c>
      <c r="BF342" s="49"/>
      <c r="BG342" s="50"/>
      <c r="BH342" s="49"/>
      <c r="BI342" s="50"/>
      <c r="BJ342" s="49"/>
      <c r="BK342" s="50"/>
      <c r="BL342" s="49"/>
      <c r="BM342" s="50"/>
      <c r="BN342" s="49"/>
    </row>
    <row r="343" spans="1:66" ht="15">
      <c r="A343" s="65" t="s">
        <v>329</v>
      </c>
      <c r="B343" s="65" t="s">
        <v>372</v>
      </c>
      <c r="C343" s="66" t="s">
        <v>5817</v>
      </c>
      <c r="D343" s="67">
        <v>1</v>
      </c>
      <c r="E343" s="68" t="s">
        <v>132</v>
      </c>
      <c r="F343" s="69">
        <v>32</v>
      </c>
      <c r="G343" s="66" t="s">
        <v>51</v>
      </c>
      <c r="H343" s="70"/>
      <c r="I343" s="71"/>
      <c r="J343" s="71"/>
      <c r="K343" s="35" t="s">
        <v>65</v>
      </c>
      <c r="L343" s="79">
        <v>343</v>
      </c>
      <c r="M343" s="79"/>
      <c r="N343" s="73"/>
      <c r="O343" s="90" t="s">
        <v>524</v>
      </c>
      <c r="P343" s="93">
        <v>44531.67222222222</v>
      </c>
      <c r="Q343" s="90" t="s">
        <v>633</v>
      </c>
      <c r="R343" s="90"/>
      <c r="S343" s="90"/>
      <c r="T343" s="90"/>
      <c r="U343" s="96" t="str">
        <f>HYPERLINK("https://pbs.twimg.com/media/FFiM6nTWYAAwPEK.jpg")</f>
        <v>https://pbs.twimg.com/media/FFiM6nTWYAAwPEK.jpg</v>
      </c>
      <c r="V343" s="96" t="str">
        <f>HYPERLINK("https://pbs.twimg.com/media/FFiM6nTWYAAwPEK.jpg")</f>
        <v>https://pbs.twimg.com/media/FFiM6nTWYAAwPEK.jpg</v>
      </c>
      <c r="W343" s="93">
        <v>44531.67222222222</v>
      </c>
      <c r="X343" s="100">
        <v>44531</v>
      </c>
      <c r="Y343" s="97" t="s">
        <v>866</v>
      </c>
      <c r="Z343" s="96" t="str">
        <f>HYPERLINK("https://twitter.com/ryyppop/status/1466076626177904641")</f>
        <v>https://twitter.com/ryyppop/status/1466076626177904641</v>
      </c>
      <c r="AA343" s="90"/>
      <c r="AB343" s="90"/>
      <c r="AC343" s="97" t="s">
        <v>1118</v>
      </c>
      <c r="AD343" s="97" t="s">
        <v>1292</v>
      </c>
      <c r="AE343" s="90" t="b">
        <v>0</v>
      </c>
      <c r="AF343" s="90">
        <v>0</v>
      </c>
      <c r="AG343" s="97" t="s">
        <v>1406</v>
      </c>
      <c r="AH343" s="90" t="b">
        <v>0</v>
      </c>
      <c r="AI343" s="90" t="s">
        <v>1442</v>
      </c>
      <c r="AJ343" s="90"/>
      <c r="AK343" s="97" t="s">
        <v>1338</v>
      </c>
      <c r="AL343" s="90" t="b">
        <v>0</v>
      </c>
      <c r="AM343" s="90">
        <v>0</v>
      </c>
      <c r="AN343" s="97" t="s">
        <v>1338</v>
      </c>
      <c r="AO343" s="97" t="s">
        <v>1452</v>
      </c>
      <c r="AP343" s="90" t="b">
        <v>0</v>
      </c>
      <c r="AQ343" s="97" t="s">
        <v>1292</v>
      </c>
      <c r="AR343" s="90" t="s">
        <v>187</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2</v>
      </c>
      <c r="BF343" s="49"/>
      <c r="BG343" s="50"/>
      <c r="BH343" s="49"/>
      <c r="BI343" s="50"/>
      <c r="BJ343" s="49"/>
      <c r="BK343" s="50"/>
      <c r="BL343" s="49"/>
      <c r="BM343" s="50"/>
      <c r="BN343" s="49"/>
    </row>
    <row r="344" spans="1:66" ht="15">
      <c r="A344" s="65" t="s">
        <v>329</v>
      </c>
      <c r="B344" s="65" t="s">
        <v>459</v>
      </c>
      <c r="C344" s="66" t="s">
        <v>5817</v>
      </c>
      <c r="D344" s="67">
        <v>1</v>
      </c>
      <c r="E344" s="68" t="s">
        <v>132</v>
      </c>
      <c r="F344" s="69">
        <v>32</v>
      </c>
      <c r="G344" s="66" t="s">
        <v>51</v>
      </c>
      <c r="H344" s="70"/>
      <c r="I344" s="71"/>
      <c r="J344" s="71"/>
      <c r="K344" s="35" t="s">
        <v>65</v>
      </c>
      <c r="L344" s="79">
        <v>344</v>
      </c>
      <c r="M344" s="79"/>
      <c r="N344" s="73"/>
      <c r="O344" s="90" t="s">
        <v>524</v>
      </c>
      <c r="P344" s="93">
        <v>44531.67222222222</v>
      </c>
      <c r="Q344" s="90" t="s">
        <v>633</v>
      </c>
      <c r="R344" s="90"/>
      <c r="S344" s="90"/>
      <c r="T344" s="90"/>
      <c r="U344" s="96" t="str">
        <f>HYPERLINK("https://pbs.twimg.com/media/FFiM6nTWYAAwPEK.jpg")</f>
        <v>https://pbs.twimg.com/media/FFiM6nTWYAAwPEK.jpg</v>
      </c>
      <c r="V344" s="96" t="str">
        <f>HYPERLINK("https://pbs.twimg.com/media/FFiM6nTWYAAwPEK.jpg")</f>
        <v>https://pbs.twimg.com/media/FFiM6nTWYAAwPEK.jpg</v>
      </c>
      <c r="W344" s="93">
        <v>44531.67222222222</v>
      </c>
      <c r="X344" s="100">
        <v>44531</v>
      </c>
      <c r="Y344" s="97" t="s">
        <v>866</v>
      </c>
      <c r="Z344" s="96" t="str">
        <f>HYPERLINK("https://twitter.com/ryyppop/status/1466076626177904641")</f>
        <v>https://twitter.com/ryyppop/status/1466076626177904641</v>
      </c>
      <c r="AA344" s="90"/>
      <c r="AB344" s="90"/>
      <c r="AC344" s="97" t="s">
        <v>1118</v>
      </c>
      <c r="AD344" s="97" t="s">
        <v>1292</v>
      </c>
      <c r="AE344" s="90" t="b">
        <v>0</v>
      </c>
      <c r="AF344" s="90">
        <v>0</v>
      </c>
      <c r="AG344" s="97" t="s">
        <v>1406</v>
      </c>
      <c r="AH344" s="90" t="b">
        <v>0</v>
      </c>
      <c r="AI344" s="90" t="s">
        <v>1442</v>
      </c>
      <c r="AJ344" s="90"/>
      <c r="AK344" s="97" t="s">
        <v>1338</v>
      </c>
      <c r="AL344" s="90" t="b">
        <v>0</v>
      </c>
      <c r="AM344" s="90">
        <v>0</v>
      </c>
      <c r="AN344" s="97" t="s">
        <v>1338</v>
      </c>
      <c r="AO344" s="97" t="s">
        <v>1452</v>
      </c>
      <c r="AP344" s="90" t="b">
        <v>0</v>
      </c>
      <c r="AQ344" s="97" t="s">
        <v>1292</v>
      </c>
      <c r="AR344" s="90" t="s">
        <v>187</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c r="BG344" s="50"/>
      <c r="BH344" s="49"/>
      <c r="BI344" s="50"/>
      <c r="BJ344" s="49"/>
      <c r="BK344" s="50"/>
      <c r="BL344" s="49"/>
      <c r="BM344" s="50"/>
      <c r="BN344" s="49"/>
    </row>
    <row r="345" spans="1:66" ht="15">
      <c r="A345" s="65" t="s">
        <v>330</v>
      </c>
      <c r="B345" s="65" t="s">
        <v>281</v>
      </c>
      <c r="C345" s="66" t="s">
        <v>5817</v>
      </c>
      <c r="D345" s="67">
        <v>1</v>
      </c>
      <c r="E345" s="68" t="s">
        <v>132</v>
      </c>
      <c r="F345" s="69">
        <v>32</v>
      </c>
      <c r="G345" s="66" t="s">
        <v>51</v>
      </c>
      <c r="H345" s="70"/>
      <c r="I345" s="71"/>
      <c r="J345" s="71"/>
      <c r="K345" s="35" t="s">
        <v>65</v>
      </c>
      <c r="L345" s="79">
        <v>345</v>
      </c>
      <c r="M345" s="79"/>
      <c r="N345" s="73"/>
      <c r="O345" s="90" t="s">
        <v>522</v>
      </c>
      <c r="P345" s="93">
        <v>44531.67486111111</v>
      </c>
      <c r="Q345" s="90" t="s">
        <v>606</v>
      </c>
      <c r="R345" s="90"/>
      <c r="S345" s="90"/>
      <c r="T345" s="90"/>
      <c r="U345" s="90"/>
      <c r="V345" s="96" t="str">
        <f>HYPERLINK("https://pbs.twimg.com/profile_images/1251457200570150912/0J9N8j3q_normal.jpg")</f>
        <v>https://pbs.twimg.com/profile_images/1251457200570150912/0J9N8j3q_normal.jpg</v>
      </c>
      <c r="W345" s="93">
        <v>44531.67486111111</v>
      </c>
      <c r="X345" s="100">
        <v>44531</v>
      </c>
      <c r="Y345" s="97" t="s">
        <v>867</v>
      </c>
      <c r="Z345" s="96" t="str">
        <f>HYPERLINK("https://twitter.com/markkulaitinen3/status/1466077581069983752")</f>
        <v>https://twitter.com/markkulaitinen3/status/1466077581069983752</v>
      </c>
      <c r="AA345" s="90"/>
      <c r="AB345" s="90"/>
      <c r="AC345" s="97" t="s">
        <v>1119</v>
      </c>
      <c r="AD345" s="90"/>
      <c r="AE345" s="90" t="b">
        <v>0</v>
      </c>
      <c r="AF345" s="90">
        <v>0</v>
      </c>
      <c r="AG345" s="97" t="s">
        <v>1338</v>
      </c>
      <c r="AH345" s="90" t="b">
        <v>0</v>
      </c>
      <c r="AI345" s="90" t="s">
        <v>1442</v>
      </c>
      <c r="AJ345" s="90"/>
      <c r="AK345" s="97" t="s">
        <v>1338</v>
      </c>
      <c r="AL345" s="90" t="b">
        <v>0</v>
      </c>
      <c r="AM345" s="90">
        <v>6</v>
      </c>
      <c r="AN345" s="97" t="s">
        <v>1132</v>
      </c>
      <c r="AO345" s="97" t="s">
        <v>1452</v>
      </c>
      <c r="AP345" s="90" t="b">
        <v>0</v>
      </c>
      <c r="AQ345" s="97" t="s">
        <v>1132</v>
      </c>
      <c r="AR345" s="90" t="s">
        <v>187</v>
      </c>
      <c r="AS345" s="90">
        <v>0</v>
      </c>
      <c r="AT345" s="90">
        <v>0</v>
      </c>
      <c r="AU345" s="90"/>
      <c r="AV345" s="90"/>
      <c r="AW345" s="90"/>
      <c r="AX345" s="90"/>
      <c r="AY345" s="90"/>
      <c r="AZ345" s="90"/>
      <c r="BA345" s="90"/>
      <c r="BB345" s="90"/>
      <c r="BC345">
        <v>1</v>
      </c>
      <c r="BD345" s="89" t="str">
        <f>REPLACE(INDEX(GroupVertices[Group],MATCH(Edges[[#This Row],[Vertex 1]],GroupVertices[Vertex],0)),1,1,"")</f>
        <v>1</v>
      </c>
      <c r="BE345" s="89" t="str">
        <f>REPLACE(INDEX(GroupVertices[Group],MATCH(Edges[[#This Row],[Vertex 2]],GroupVertices[Vertex],0)),1,1,"")</f>
        <v>1</v>
      </c>
      <c r="BF345" s="49"/>
      <c r="BG345" s="50"/>
      <c r="BH345" s="49"/>
      <c r="BI345" s="50"/>
      <c r="BJ345" s="49"/>
      <c r="BK345" s="50"/>
      <c r="BL345" s="49"/>
      <c r="BM345" s="50"/>
      <c r="BN345" s="49"/>
    </row>
    <row r="346" spans="1:66" ht="15">
      <c r="A346" s="65" t="s">
        <v>330</v>
      </c>
      <c r="B346" s="65" t="s">
        <v>338</v>
      </c>
      <c r="C346" s="66" t="s">
        <v>5817</v>
      </c>
      <c r="D346" s="67">
        <v>1</v>
      </c>
      <c r="E346" s="68" t="s">
        <v>132</v>
      </c>
      <c r="F346" s="69">
        <v>32</v>
      </c>
      <c r="G346" s="66" t="s">
        <v>51</v>
      </c>
      <c r="H346" s="70"/>
      <c r="I346" s="71"/>
      <c r="J346" s="71"/>
      <c r="K346" s="35" t="s">
        <v>65</v>
      </c>
      <c r="L346" s="79">
        <v>346</v>
      </c>
      <c r="M346" s="79"/>
      <c r="N346" s="73"/>
      <c r="O346" s="90" t="s">
        <v>523</v>
      </c>
      <c r="P346" s="93">
        <v>44531.67486111111</v>
      </c>
      <c r="Q346" s="90" t="s">
        <v>606</v>
      </c>
      <c r="R346" s="90"/>
      <c r="S346" s="90"/>
      <c r="T346" s="90"/>
      <c r="U346" s="90"/>
      <c r="V346" s="96" t="str">
        <f>HYPERLINK("https://pbs.twimg.com/profile_images/1251457200570150912/0J9N8j3q_normal.jpg")</f>
        <v>https://pbs.twimg.com/profile_images/1251457200570150912/0J9N8j3q_normal.jpg</v>
      </c>
      <c r="W346" s="93">
        <v>44531.67486111111</v>
      </c>
      <c r="X346" s="100">
        <v>44531</v>
      </c>
      <c r="Y346" s="97" t="s">
        <v>867</v>
      </c>
      <c r="Z346" s="96" t="str">
        <f>HYPERLINK("https://twitter.com/markkulaitinen3/status/1466077581069983752")</f>
        <v>https://twitter.com/markkulaitinen3/status/1466077581069983752</v>
      </c>
      <c r="AA346" s="90"/>
      <c r="AB346" s="90"/>
      <c r="AC346" s="97" t="s">
        <v>1119</v>
      </c>
      <c r="AD346" s="90"/>
      <c r="AE346" s="90" t="b">
        <v>0</v>
      </c>
      <c r="AF346" s="90">
        <v>0</v>
      </c>
      <c r="AG346" s="97" t="s">
        <v>1338</v>
      </c>
      <c r="AH346" s="90" t="b">
        <v>0</v>
      </c>
      <c r="AI346" s="90" t="s">
        <v>1442</v>
      </c>
      <c r="AJ346" s="90"/>
      <c r="AK346" s="97" t="s">
        <v>1338</v>
      </c>
      <c r="AL346" s="90" t="b">
        <v>0</v>
      </c>
      <c r="AM346" s="90">
        <v>6</v>
      </c>
      <c r="AN346" s="97" t="s">
        <v>1132</v>
      </c>
      <c r="AO346" s="97" t="s">
        <v>1452</v>
      </c>
      <c r="AP346" s="90" t="b">
        <v>0</v>
      </c>
      <c r="AQ346" s="97" t="s">
        <v>1132</v>
      </c>
      <c r="AR346" s="90" t="s">
        <v>187</v>
      </c>
      <c r="AS346" s="90">
        <v>0</v>
      </c>
      <c r="AT346" s="90">
        <v>0</v>
      </c>
      <c r="AU346" s="90"/>
      <c r="AV346" s="90"/>
      <c r="AW346" s="90"/>
      <c r="AX346" s="90"/>
      <c r="AY346" s="90"/>
      <c r="AZ346" s="90"/>
      <c r="BA346" s="90"/>
      <c r="BB346" s="90"/>
      <c r="BC346">
        <v>1</v>
      </c>
      <c r="BD346" s="89" t="str">
        <f>REPLACE(INDEX(GroupVertices[Group],MATCH(Edges[[#This Row],[Vertex 1]],GroupVertices[Vertex],0)),1,1,"")</f>
        <v>1</v>
      </c>
      <c r="BE346" s="89" t="str">
        <f>REPLACE(INDEX(GroupVertices[Group],MATCH(Edges[[#This Row],[Vertex 2]],GroupVertices[Vertex],0)),1,1,"")</f>
        <v>1</v>
      </c>
      <c r="BF346" s="49">
        <v>0</v>
      </c>
      <c r="BG346" s="50">
        <v>0</v>
      </c>
      <c r="BH346" s="49">
        <v>0</v>
      </c>
      <c r="BI346" s="50">
        <v>0</v>
      </c>
      <c r="BJ346" s="49">
        <v>0</v>
      </c>
      <c r="BK346" s="50">
        <v>0</v>
      </c>
      <c r="BL346" s="49">
        <v>28</v>
      </c>
      <c r="BM346" s="50">
        <v>100</v>
      </c>
      <c r="BN346" s="49">
        <v>28</v>
      </c>
    </row>
    <row r="347" spans="1:66" ht="15">
      <c r="A347" s="65" t="s">
        <v>331</v>
      </c>
      <c r="B347" s="65" t="s">
        <v>386</v>
      </c>
      <c r="C347" s="66" t="s">
        <v>5817</v>
      </c>
      <c r="D347" s="67">
        <v>1</v>
      </c>
      <c r="E347" s="68" t="s">
        <v>132</v>
      </c>
      <c r="F347" s="69">
        <v>32</v>
      </c>
      <c r="G347" s="66" t="s">
        <v>51</v>
      </c>
      <c r="H347" s="70"/>
      <c r="I347" s="71"/>
      <c r="J347" s="71"/>
      <c r="K347" s="35" t="s">
        <v>65</v>
      </c>
      <c r="L347" s="79">
        <v>347</v>
      </c>
      <c r="M347" s="79"/>
      <c r="N347" s="73"/>
      <c r="O347" s="90" t="s">
        <v>524</v>
      </c>
      <c r="P347" s="93">
        <v>44526.59837962963</v>
      </c>
      <c r="Q347" s="90" t="s">
        <v>534</v>
      </c>
      <c r="R347" s="90"/>
      <c r="S347" s="90"/>
      <c r="T347" s="90"/>
      <c r="U347" s="96" t="str">
        <f>HYPERLINK("https://pbs.twimg.com/media/FFID_PSX0AoJlZb.png")</f>
        <v>https://pbs.twimg.com/media/FFID_PSX0AoJlZb.png</v>
      </c>
      <c r="V347" s="96" t="str">
        <f>HYPERLINK("https://pbs.twimg.com/media/FFID_PSX0AoJlZb.png")</f>
        <v>https://pbs.twimg.com/media/FFID_PSX0AoJlZb.png</v>
      </c>
      <c r="W347" s="93">
        <v>44526.59837962963</v>
      </c>
      <c r="X347" s="100">
        <v>44526</v>
      </c>
      <c r="Y347" s="97" t="s">
        <v>868</v>
      </c>
      <c r="Z347" s="96" t="str">
        <f>HYPERLINK("https://twitter.com/lauri_paavola/status/1464237926020227076")</f>
        <v>https://twitter.com/lauri_paavola/status/1464237926020227076</v>
      </c>
      <c r="AA347" s="90"/>
      <c r="AB347" s="90"/>
      <c r="AC347" s="97" t="s">
        <v>1120</v>
      </c>
      <c r="AD347" s="90"/>
      <c r="AE347" s="90" t="b">
        <v>0</v>
      </c>
      <c r="AF347" s="90">
        <v>6</v>
      </c>
      <c r="AG347" s="97" t="s">
        <v>1338</v>
      </c>
      <c r="AH347" s="90" t="b">
        <v>0</v>
      </c>
      <c r="AI347" s="90" t="s">
        <v>1442</v>
      </c>
      <c r="AJ347" s="90"/>
      <c r="AK347" s="97" t="s">
        <v>1338</v>
      </c>
      <c r="AL347" s="90" t="b">
        <v>0</v>
      </c>
      <c r="AM347" s="90">
        <v>2</v>
      </c>
      <c r="AN347" s="97" t="s">
        <v>1338</v>
      </c>
      <c r="AO347" s="97" t="s">
        <v>1450</v>
      </c>
      <c r="AP347" s="90" t="b">
        <v>0</v>
      </c>
      <c r="AQ347" s="97" t="s">
        <v>1120</v>
      </c>
      <c r="AR347" s="90" t="s">
        <v>187</v>
      </c>
      <c r="AS347" s="90">
        <v>0</v>
      </c>
      <c r="AT347" s="90">
        <v>0</v>
      </c>
      <c r="AU347" s="90"/>
      <c r="AV347" s="90"/>
      <c r="AW347" s="90"/>
      <c r="AX347" s="90"/>
      <c r="AY347" s="90"/>
      <c r="AZ347" s="90"/>
      <c r="BA347" s="90"/>
      <c r="BB347" s="90"/>
      <c r="BC347">
        <v>1</v>
      </c>
      <c r="BD347" s="89" t="str">
        <f>REPLACE(INDEX(GroupVertices[Group],MATCH(Edges[[#This Row],[Vertex 1]],GroupVertices[Vertex],0)),1,1,"")</f>
        <v>10</v>
      </c>
      <c r="BE347" s="89" t="str">
        <f>REPLACE(INDEX(GroupVertices[Group],MATCH(Edges[[#This Row],[Vertex 2]],GroupVertices[Vertex],0)),1,1,"")</f>
        <v>10</v>
      </c>
      <c r="BF347" s="49">
        <v>0</v>
      </c>
      <c r="BG347" s="50">
        <v>0</v>
      </c>
      <c r="BH347" s="49">
        <v>0</v>
      </c>
      <c r="BI347" s="50">
        <v>0</v>
      </c>
      <c r="BJ347" s="49">
        <v>0</v>
      </c>
      <c r="BK347" s="50">
        <v>0</v>
      </c>
      <c r="BL347" s="49">
        <v>30</v>
      </c>
      <c r="BM347" s="50">
        <v>100</v>
      </c>
      <c r="BN347" s="49">
        <v>30</v>
      </c>
    </row>
    <row r="348" spans="1:66" ht="15">
      <c r="A348" s="65" t="s">
        <v>332</v>
      </c>
      <c r="B348" s="65" t="s">
        <v>480</v>
      </c>
      <c r="C348" s="66" t="s">
        <v>5817</v>
      </c>
      <c r="D348" s="67">
        <v>1</v>
      </c>
      <c r="E348" s="68" t="s">
        <v>132</v>
      </c>
      <c r="F348" s="69">
        <v>32</v>
      </c>
      <c r="G348" s="66" t="s">
        <v>51</v>
      </c>
      <c r="H348" s="70"/>
      <c r="I348" s="71"/>
      <c r="J348" s="71"/>
      <c r="K348" s="35" t="s">
        <v>65</v>
      </c>
      <c r="L348" s="79">
        <v>348</v>
      </c>
      <c r="M348" s="79"/>
      <c r="N348" s="73"/>
      <c r="O348" s="90" t="s">
        <v>523</v>
      </c>
      <c r="P348" s="93">
        <v>44528.708506944444</v>
      </c>
      <c r="Q348" s="90" t="s">
        <v>634</v>
      </c>
      <c r="R348" s="90"/>
      <c r="S348" s="90"/>
      <c r="T348" s="90"/>
      <c r="U348" s="90"/>
      <c r="V348" s="96" t="str">
        <f>HYPERLINK("https://pbs.twimg.com/profile_images/1008089204713230341/KCxoe70-_normal.jpg")</f>
        <v>https://pbs.twimg.com/profile_images/1008089204713230341/KCxoe70-_normal.jpg</v>
      </c>
      <c r="W348" s="93">
        <v>44528.708506944444</v>
      </c>
      <c r="X348" s="100">
        <v>44528</v>
      </c>
      <c r="Y348" s="97" t="s">
        <v>869</v>
      </c>
      <c r="Z348" s="96" t="str">
        <f>HYPERLINK("https://twitter.com/mikkokorhonen12/status/1465002611350904834")</f>
        <v>https://twitter.com/mikkokorhonen12/status/1465002611350904834</v>
      </c>
      <c r="AA348" s="90"/>
      <c r="AB348" s="90"/>
      <c r="AC348" s="97" t="s">
        <v>1121</v>
      </c>
      <c r="AD348" s="97" t="s">
        <v>1293</v>
      </c>
      <c r="AE348" s="90" t="b">
        <v>0</v>
      </c>
      <c r="AF348" s="90">
        <v>1</v>
      </c>
      <c r="AG348" s="97" t="s">
        <v>1407</v>
      </c>
      <c r="AH348" s="90" t="b">
        <v>0</v>
      </c>
      <c r="AI348" s="90" t="s">
        <v>1442</v>
      </c>
      <c r="AJ348" s="90"/>
      <c r="AK348" s="97" t="s">
        <v>1338</v>
      </c>
      <c r="AL348" s="90" t="b">
        <v>0</v>
      </c>
      <c r="AM348" s="90">
        <v>0</v>
      </c>
      <c r="AN348" s="97" t="s">
        <v>1338</v>
      </c>
      <c r="AO348" s="97" t="s">
        <v>1452</v>
      </c>
      <c r="AP348" s="90" t="b">
        <v>0</v>
      </c>
      <c r="AQ348" s="97" t="s">
        <v>1293</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10</v>
      </c>
      <c r="BE348" s="89" t="str">
        <f>REPLACE(INDEX(GroupVertices[Group],MATCH(Edges[[#This Row],[Vertex 2]],GroupVertices[Vertex],0)),1,1,"")</f>
        <v>10</v>
      </c>
      <c r="BF348" s="49">
        <v>0</v>
      </c>
      <c r="BG348" s="50">
        <v>0</v>
      </c>
      <c r="BH348" s="49">
        <v>0</v>
      </c>
      <c r="BI348" s="50">
        <v>0</v>
      </c>
      <c r="BJ348" s="49">
        <v>0</v>
      </c>
      <c r="BK348" s="50">
        <v>0</v>
      </c>
      <c r="BL348" s="49">
        <v>35</v>
      </c>
      <c r="BM348" s="50">
        <v>100</v>
      </c>
      <c r="BN348" s="49">
        <v>35</v>
      </c>
    </row>
    <row r="349" spans="1:66" ht="15">
      <c r="A349" s="65" t="s">
        <v>331</v>
      </c>
      <c r="B349" s="65" t="s">
        <v>332</v>
      </c>
      <c r="C349" s="66" t="s">
        <v>5817</v>
      </c>
      <c r="D349" s="67">
        <v>1</v>
      </c>
      <c r="E349" s="68" t="s">
        <v>132</v>
      </c>
      <c r="F349" s="69">
        <v>32</v>
      </c>
      <c r="G349" s="66" t="s">
        <v>51</v>
      </c>
      <c r="H349" s="70"/>
      <c r="I349" s="71"/>
      <c r="J349" s="71"/>
      <c r="K349" s="35" t="s">
        <v>66</v>
      </c>
      <c r="L349" s="79">
        <v>349</v>
      </c>
      <c r="M349" s="79"/>
      <c r="N349" s="73"/>
      <c r="O349" s="90" t="s">
        <v>523</v>
      </c>
      <c r="P349" s="93">
        <v>44531.68883101852</v>
      </c>
      <c r="Q349" s="90" t="s">
        <v>635</v>
      </c>
      <c r="R349" s="90" t="s">
        <v>688</v>
      </c>
      <c r="S349" s="90" t="s">
        <v>704</v>
      </c>
      <c r="T349" s="90"/>
      <c r="U349" s="90"/>
      <c r="V349" s="96" t="str">
        <f>HYPERLINK("https://pbs.twimg.com/profile_images/1384318223164878848/nlJ4Kzz9_normal.jpg")</f>
        <v>https://pbs.twimg.com/profile_images/1384318223164878848/nlJ4Kzz9_normal.jpg</v>
      </c>
      <c r="W349" s="93">
        <v>44531.68883101852</v>
      </c>
      <c r="X349" s="100">
        <v>44531</v>
      </c>
      <c r="Y349" s="97" t="s">
        <v>870</v>
      </c>
      <c r="Z349" s="96" t="str">
        <f>HYPERLINK("https://twitter.com/lauri_paavola/status/1466082642605092876")</f>
        <v>https://twitter.com/lauri_paavola/status/1466082642605092876</v>
      </c>
      <c r="AA349" s="90"/>
      <c r="AB349" s="90"/>
      <c r="AC349" s="97" t="s">
        <v>1122</v>
      </c>
      <c r="AD349" s="97" t="s">
        <v>1294</v>
      </c>
      <c r="AE349" s="90" t="b">
        <v>0</v>
      </c>
      <c r="AF349" s="90">
        <v>0</v>
      </c>
      <c r="AG349" s="97" t="s">
        <v>1408</v>
      </c>
      <c r="AH349" s="90" t="b">
        <v>0</v>
      </c>
      <c r="AI349" s="90" t="s">
        <v>1442</v>
      </c>
      <c r="AJ349" s="90"/>
      <c r="AK349" s="97" t="s">
        <v>1338</v>
      </c>
      <c r="AL349" s="90" t="b">
        <v>0</v>
      </c>
      <c r="AM349" s="90">
        <v>0</v>
      </c>
      <c r="AN349" s="97" t="s">
        <v>1338</v>
      </c>
      <c r="AO349" s="97" t="s">
        <v>1450</v>
      </c>
      <c r="AP349" s="90" t="b">
        <v>0</v>
      </c>
      <c r="AQ349" s="97" t="s">
        <v>1294</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10</v>
      </c>
      <c r="BE349" s="89" t="str">
        <f>REPLACE(INDEX(GroupVertices[Group],MATCH(Edges[[#This Row],[Vertex 2]],GroupVertices[Vertex],0)),1,1,"")</f>
        <v>10</v>
      </c>
      <c r="BF349" s="49">
        <v>0</v>
      </c>
      <c r="BG349" s="50">
        <v>0</v>
      </c>
      <c r="BH349" s="49">
        <v>0</v>
      </c>
      <c r="BI349" s="50">
        <v>0</v>
      </c>
      <c r="BJ349" s="49">
        <v>0</v>
      </c>
      <c r="BK349" s="50">
        <v>0</v>
      </c>
      <c r="BL349" s="49">
        <v>27</v>
      </c>
      <c r="BM349" s="50">
        <v>100</v>
      </c>
      <c r="BN349" s="49">
        <v>27</v>
      </c>
    </row>
    <row r="350" spans="1:66" ht="15">
      <c r="A350" s="65" t="s">
        <v>332</v>
      </c>
      <c r="B350" s="65" t="s">
        <v>331</v>
      </c>
      <c r="C350" s="66" t="s">
        <v>5817</v>
      </c>
      <c r="D350" s="67">
        <v>1</v>
      </c>
      <c r="E350" s="68" t="s">
        <v>132</v>
      </c>
      <c r="F350" s="69">
        <v>32</v>
      </c>
      <c r="G350" s="66" t="s">
        <v>51</v>
      </c>
      <c r="H350" s="70"/>
      <c r="I350" s="71"/>
      <c r="J350" s="71"/>
      <c r="K350" s="35" t="s">
        <v>66</v>
      </c>
      <c r="L350" s="79">
        <v>350</v>
      </c>
      <c r="M350" s="79"/>
      <c r="N350" s="73"/>
      <c r="O350" s="90" t="s">
        <v>523</v>
      </c>
      <c r="P350" s="93">
        <v>44531.69336805555</v>
      </c>
      <c r="Q350" s="90" t="s">
        <v>636</v>
      </c>
      <c r="R350" s="90"/>
      <c r="S350" s="90"/>
      <c r="T350" s="90"/>
      <c r="U350" s="96" t="str">
        <f>HYPERLINK("https://pbs.twimg.com/media/FFiT1dPXoAgSLVI.jpg")</f>
        <v>https://pbs.twimg.com/media/FFiT1dPXoAgSLVI.jpg</v>
      </c>
      <c r="V350" s="96" t="str">
        <f>HYPERLINK("https://pbs.twimg.com/media/FFiT1dPXoAgSLVI.jpg")</f>
        <v>https://pbs.twimg.com/media/FFiT1dPXoAgSLVI.jpg</v>
      </c>
      <c r="W350" s="93">
        <v>44531.69336805555</v>
      </c>
      <c r="X350" s="100">
        <v>44531</v>
      </c>
      <c r="Y350" s="97" t="s">
        <v>871</v>
      </c>
      <c r="Z350" s="96" t="str">
        <f>HYPERLINK("https://twitter.com/mikkokorhonen12/status/1466084287011336205")</f>
        <v>https://twitter.com/mikkokorhonen12/status/1466084287011336205</v>
      </c>
      <c r="AA350" s="90"/>
      <c r="AB350" s="90"/>
      <c r="AC350" s="97" t="s">
        <v>1123</v>
      </c>
      <c r="AD350" s="97" t="s">
        <v>1295</v>
      </c>
      <c r="AE350" s="90" t="b">
        <v>0</v>
      </c>
      <c r="AF350" s="90">
        <v>0</v>
      </c>
      <c r="AG350" s="97" t="s">
        <v>1387</v>
      </c>
      <c r="AH350" s="90" t="b">
        <v>0</v>
      </c>
      <c r="AI350" s="90" t="s">
        <v>1442</v>
      </c>
      <c r="AJ350" s="90"/>
      <c r="AK350" s="97" t="s">
        <v>1338</v>
      </c>
      <c r="AL350" s="90" t="b">
        <v>0</v>
      </c>
      <c r="AM350" s="90">
        <v>0</v>
      </c>
      <c r="AN350" s="97" t="s">
        <v>1338</v>
      </c>
      <c r="AO350" s="97" t="s">
        <v>1450</v>
      </c>
      <c r="AP350" s="90" t="b">
        <v>0</v>
      </c>
      <c r="AQ350" s="97" t="s">
        <v>1295</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10</v>
      </c>
      <c r="BE350" s="89" t="str">
        <f>REPLACE(INDEX(GroupVertices[Group],MATCH(Edges[[#This Row],[Vertex 2]],GroupVertices[Vertex],0)),1,1,"")</f>
        <v>10</v>
      </c>
      <c r="BF350" s="49">
        <v>0</v>
      </c>
      <c r="BG350" s="50">
        <v>0</v>
      </c>
      <c r="BH350" s="49">
        <v>0</v>
      </c>
      <c r="BI350" s="50">
        <v>0</v>
      </c>
      <c r="BJ350" s="49">
        <v>0</v>
      </c>
      <c r="BK350" s="50">
        <v>0</v>
      </c>
      <c r="BL350" s="49">
        <v>34</v>
      </c>
      <c r="BM350" s="50">
        <v>100</v>
      </c>
      <c r="BN350" s="49">
        <v>34</v>
      </c>
    </row>
    <row r="351" spans="1:66" ht="15">
      <c r="A351" s="65" t="s">
        <v>333</v>
      </c>
      <c r="B351" s="65" t="s">
        <v>458</v>
      </c>
      <c r="C351" s="66" t="s">
        <v>5817</v>
      </c>
      <c r="D351" s="67">
        <v>1</v>
      </c>
      <c r="E351" s="68" t="s">
        <v>132</v>
      </c>
      <c r="F351" s="69">
        <v>32</v>
      </c>
      <c r="G351" s="66" t="s">
        <v>51</v>
      </c>
      <c r="H351" s="70"/>
      <c r="I351" s="71"/>
      <c r="J351" s="71"/>
      <c r="K351" s="35" t="s">
        <v>65</v>
      </c>
      <c r="L351" s="79">
        <v>351</v>
      </c>
      <c r="M351" s="79"/>
      <c r="N351" s="73"/>
      <c r="O351" s="90" t="s">
        <v>524</v>
      </c>
      <c r="P351" s="93">
        <v>44531.73861111111</v>
      </c>
      <c r="Q351" s="90" t="s">
        <v>637</v>
      </c>
      <c r="R351" s="90"/>
      <c r="S351" s="90"/>
      <c r="T351" s="90"/>
      <c r="U351" s="90"/>
      <c r="V351" s="96" t="str">
        <f>HYPERLINK("https://pbs.twimg.com/profile_images/1272449419317837824/HfKw5_Wv_normal.jpg")</f>
        <v>https://pbs.twimg.com/profile_images/1272449419317837824/HfKw5_Wv_normal.jpg</v>
      </c>
      <c r="W351" s="93">
        <v>44531.73861111111</v>
      </c>
      <c r="X351" s="100">
        <v>44531</v>
      </c>
      <c r="Y351" s="97" t="s">
        <v>872</v>
      </c>
      <c r="Z351" s="96" t="str">
        <f>HYPERLINK("https://twitter.com/artokekkonen/status/1466100681719304194")</f>
        <v>https://twitter.com/artokekkonen/status/1466100681719304194</v>
      </c>
      <c r="AA351" s="90"/>
      <c r="AB351" s="90"/>
      <c r="AC351" s="97" t="s">
        <v>1124</v>
      </c>
      <c r="AD351" s="97" t="s">
        <v>1296</v>
      </c>
      <c r="AE351" s="90" t="b">
        <v>0</v>
      </c>
      <c r="AF351" s="90">
        <v>1</v>
      </c>
      <c r="AG351" s="97" t="s">
        <v>1409</v>
      </c>
      <c r="AH351" s="90" t="b">
        <v>0</v>
      </c>
      <c r="AI351" s="90" t="s">
        <v>1442</v>
      </c>
      <c r="AJ351" s="90"/>
      <c r="AK351" s="97" t="s">
        <v>1338</v>
      </c>
      <c r="AL351" s="90" t="b">
        <v>0</v>
      </c>
      <c r="AM351" s="90">
        <v>0</v>
      </c>
      <c r="AN351" s="97" t="s">
        <v>1338</v>
      </c>
      <c r="AO351" s="97" t="s">
        <v>1450</v>
      </c>
      <c r="AP351" s="90" t="b">
        <v>0</v>
      </c>
      <c r="AQ351" s="97" t="s">
        <v>1296</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2</v>
      </c>
      <c r="BE351" s="89" t="str">
        <f>REPLACE(INDEX(GroupVertices[Group],MATCH(Edges[[#This Row],[Vertex 2]],GroupVertices[Vertex],0)),1,1,"")</f>
        <v>2</v>
      </c>
      <c r="BF351" s="49"/>
      <c r="BG351" s="50"/>
      <c r="BH351" s="49"/>
      <c r="BI351" s="50"/>
      <c r="BJ351" s="49"/>
      <c r="BK351" s="50"/>
      <c r="BL351" s="49"/>
      <c r="BM351" s="50"/>
      <c r="BN351" s="49"/>
    </row>
    <row r="352" spans="1:66" ht="15">
      <c r="A352" s="65" t="s">
        <v>333</v>
      </c>
      <c r="B352" s="65" t="s">
        <v>459</v>
      </c>
      <c r="C352" s="66" t="s">
        <v>5817</v>
      </c>
      <c r="D352" s="67">
        <v>1</v>
      </c>
      <c r="E352" s="68" t="s">
        <v>132</v>
      </c>
      <c r="F352" s="69">
        <v>32</v>
      </c>
      <c r="G352" s="66" t="s">
        <v>51</v>
      </c>
      <c r="H352" s="70"/>
      <c r="I352" s="71"/>
      <c r="J352" s="71"/>
      <c r="K352" s="35" t="s">
        <v>65</v>
      </c>
      <c r="L352" s="79">
        <v>352</v>
      </c>
      <c r="M352" s="79"/>
      <c r="N352" s="73"/>
      <c r="O352" s="90" t="s">
        <v>523</v>
      </c>
      <c r="P352" s="93">
        <v>44531.73861111111</v>
      </c>
      <c r="Q352" s="90" t="s">
        <v>637</v>
      </c>
      <c r="R352" s="90"/>
      <c r="S352" s="90"/>
      <c r="T352" s="90"/>
      <c r="U352" s="90"/>
      <c r="V352" s="96" t="str">
        <f>HYPERLINK("https://pbs.twimg.com/profile_images/1272449419317837824/HfKw5_Wv_normal.jpg")</f>
        <v>https://pbs.twimg.com/profile_images/1272449419317837824/HfKw5_Wv_normal.jpg</v>
      </c>
      <c r="W352" s="93">
        <v>44531.73861111111</v>
      </c>
      <c r="X352" s="100">
        <v>44531</v>
      </c>
      <c r="Y352" s="97" t="s">
        <v>872</v>
      </c>
      <c r="Z352" s="96" t="str">
        <f>HYPERLINK("https://twitter.com/artokekkonen/status/1466100681719304194")</f>
        <v>https://twitter.com/artokekkonen/status/1466100681719304194</v>
      </c>
      <c r="AA352" s="90"/>
      <c r="AB352" s="90"/>
      <c r="AC352" s="97" t="s">
        <v>1124</v>
      </c>
      <c r="AD352" s="97" t="s">
        <v>1296</v>
      </c>
      <c r="AE352" s="90" t="b">
        <v>0</v>
      </c>
      <c r="AF352" s="90">
        <v>1</v>
      </c>
      <c r="AG352" s="97" t="s">
        <v>1409</v>
      </c>
      <c r="AH352" s="90" t="b">
        <v>0</v>
      </c>
      <c r="AI352" s="90" t="s">
        <v>1442</v>
      </c>
      <c r="AJ352" s="90"/>
      <c r="AK352" s="97" t="s">
        <v>1338</v>
      </c>
      <c r="AL352" s="90" t="b">
        <v>0</v>
      </c>
      <c r="AM352" s="90">
        <v>0</v>
      </c>
      <c r="AN352" s="97" t="s">
        <v>1338</v>
      </c>
      <c r="AO352" s="97" t="s">
        <v>1450</v>
      </c>
      <c r="AP352" s="90" t="b">
        <v>0</v>
      </c>
      <c r="AQ352" s="97" t="s">
        <v>1296</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2</v>
      </c>
      <c r="BE352" s="89" t="str">
        <f>REPLACE(INDEX(GroupVertices[Group],MATCH(Edges[[#This Row],[Vertex 2]],GroupVertices[Vertex],0)),1,1,"")</f>
        <v>2</v>
      </c>
      <c r="BF352" s="49">
        <v>1</v>
      </c>
      <c r="BG352" s="50">
        <v>3.5714285714285716</v>
      </c>
      <c r="BH352" s="49">
        <v>0</v>
      </c>
      <c r="BI352" s="50">
        <v>0</v>
      </c>
      <c r="BJ352" s="49">
        <v>0</v>
      </c>
      <c r="BK352" s="50">
        <v>0</v>
      </c>
      <c r="BL352" s="49">
        <v>27</v>
      </c>
      <c r="BM352" s="50">
        <v>96.42857142857143</v>
      </c>
      <c r="BN352" s="49">
        <v>28</v>
      </c>
    </row>
    <row r="353" spans="1:66" ht="15">
      <c r="A353" s="65" t="s">
        <v>334</v>
      </c>
      <c r="B353" s="65" t="s">
        <v>349</v>
      </c>
      <c r="C353" s="66" t="s">
        <v>5817</v>
      </c>
      <c r="D353" s="67">
        <v>1</v>
      </c>
      <c r="E353" s="68" t="s">
        <v>132</v>
      </c>
      <c r="F353" s="69">
        <v>32</v>
      </c>
      <c r="G353" s="66" t="s">
        <v>51</v>
      </c>
      <c r="H353" s="70"/>
      <c r="I353" s="71"/>
      <c r="J353" s="71"/>
      <c r="K353" s="35" t="s">
        <v>65</v>
      </c>
      <c r="L353" s="79">
        <v>353</v>
      </c>
      <c r="M353" s="79"/>
      <c r="N353" s="73"/>
      <c r="O353" s="90" t="s">
        <v>522</v>
      </c>
      <c r="P353" s="93">
        <v>44530.76582175926</v>
      </c>
      <c r="Q353" s="90" t="s">
        <v>577</v>
      </c>
      <c r="R353" s="90"/>
      <c r="S353" s="90"/>
      <c r="T353" s="97" t="s">
        <v>226</v>
      </c>
      <c r="U353" s="90"/>
      <c r="V353" s="96" t="str">
        <f>HYPERLINK("https://pbs.twimg.com/profile_images/1410560442368397318/612Msodv_normal.jpg")</f>
        <v>https://pbs.twimg.com/profile_images/1410560442368397318/612Msodv_normal.jpg</v>
      </c>
      <c r="W353" s="93">
        <v>44530.76582175926</v>
      </c>
      <c r="X353" s="100">
        <v>44530</v>
      </c>
      <c r="Y353" s="97" t="s">
        <v>873</v>
      </c>
      <c r="Z353" s="96" t="str">
        <f>HYPERLINK("https://twitter.com/pee_ranta/status/1465748158043115524")</f>
        <v>https://twitter.com/pee_ranta/status/1465748158043115524</v>
      </c>
      <c r="AA353" s="90"/>
      <c r="AB353" s="90"/>
      <c r="AC353" s="97" t="s">
        <v>1125</v>
      </c>
      <c r="AD353" s="90"/>
      <c r="AE353" s="90" t="b">
        <v>0</v>
      </c>
      <c r="AF353" s="90">
        <v>0</v>
      </c>
      <c r="AG353" s="97" t="s">
        <v>1338</v>
      </c>
      <c r="AH353" s="90" t="b">
        <v>0</v>
      </c>
      <c r="AI353" s="90" t="s">
        <v>1442</v>
      </c>
      <c r="AJ353" s="90"/>
      <c r="AK353" s="97" t="s">
        <v>1338</v>
      </c>
      <c r="AL353" s="90" t="b">
        <v>0</v>
      </c>
      <c r="AM353" s="90">
        <v>14</v>
      </c>
      <c r="AN353" s="97" t="s">
        <v>1178</v>
      </c>
      <c r="AO353" s="97" t="s">
        <v>1451</v>
      </c>
      <c r="AP353" s="90" t="b">
        <v>0</v>
      </c>
      <c r="AQ353" s="97" t="s">
        <v>1178</v>
      </c>
      <c r="AR353" s="90" t="s">
        <v>187</v>
      </c>
      <c r="AS353" s="90">
        <v>0</v>
      </c>
      <c r="AT353" s="90">
        <v>0</v>
      </c>
      <c r="AU353" s="90"/>
      <c r="AV353" s="90"/>
      <c r="AW353" s="90"/>
      <c r="AX353" s="90"/>
      <c r="AY353" s="90"/>
      <c r="AZ353" s="90"/>
      <c r="BA353" s="90"/>
      <c r="BB353" s="90"/>
      <c r="BC353">
        <v>1</v>
      </c>
      <c r="BD353" s="89" t="str">
        <f>REPLACE(INDEX(GroupVertices[Group],MATCH(Edges[[#This Row],[Vertex 1]],GroupVertices[Vertex],0)),1,1,"")</f>
        <v>2</v>
      </c>
      <c r="BE353" s="89" t="str">
        <f>REPLACE(INDEX(GroupVertices[Group],MATCH(Edges[[#This Row],[Vertex 2]],GroupVertices[Vertex],0)),1,1,"")</f>
        <v>5</v>
      </c>
      <c r="BF353" s="49"/>
      <c r="BG353" s="50"/>
      <c r="BH353" s="49"/>
      <c r="BI353" s="50"/>
      <c r="BJ353" s="49"/>
      <c r="BK353" s="50"/>
      <c r="BL353" s="49"/>
      <c r="BM353" s="50"/>
      <c r="BN353" s="49"/>
    </row>
    <row r="354" spans="1:66" ht="15">
      <c r="A354" s="65" t="s">
        <v>334</v>
      </c>
      <c r="B354" s="65" t="s">
        <v>432</v>
      </c>
      <c r="C354" s="66" t="s">
        <v>5817</v>
      </c>
      <c r="D354" s="67">
        <v>1</v>
      </c>
      <c r="E354" s="68" t="s">
        <v>132</v>
      </c>
      <c r="F354" s="69">
        <v>32</v>
      </c>
      <c r="G354" s="66" t="s">
        <v>51</v>
      </c>
      <c r="H354" s="70"/>
      <c r="I354" s="71"/>
      <c r="J354" s="71"/>
      <c r="K354" s="35" t="s">
        <v>65</v>
      </c>
      <c r="L354" s="79">
        <v>354</v>
      </c>
      <c r="M354" s="79"/>
      <c r="N354" s="73"/>
      <c r="O354" s="90" t="s">
        <v>523</v>
      </c>
      <c r="P354" s="93">
        <v>44530.76582175926</v>
      </c>
      <c r="Q354" s="90" t="s">
        <v>577</v>
      </c>
      <c r="R354" s="90"/>
      <c r="S354" s="90"/>
      <c r="T354" s="97" t="s">
        <v>226</v>
      </c>
      <c r="U354" s="90"/>
      <c r="V354" s="96" t="str">
        <f>HYPERLINK("https://pbs.twimg.com/profile_images/1410560442368397318/612Msodv_normal.jpg")</f>
        <v>https://pbs.twimg.com/profile_images/1410560442368397318/612Msodv_normal.jpg</v>
      </c>
      <c r="W354" s="93">
        <v>44530.76582175926</v>
      </c>
      <c r="X354" s="100">
        <v>44530</v>
      </c>
      <c r="Y354" s="97" t="s">
        <v>873</v>
      </c>
      <c r="Z354" s="96" t="str">
        <f>HYPERLINK("https://twitter.com/pee_ranta/status/1465748158043115524")</f>
        <v>https://twitter.com/pee_ranta/status/1465748158043115524</v>
      </c>
      <c r="AA354" s="90"/>
      <c r="AB354" s="90"/>
      <c r="AC354" s="97" t="s">
        <v>1125</v>
      </c>
      <c r="AD354" s="90"/>
      <c r="AE354" s="90" t="b">
        <v>0</v>
      </c>
      <c r="AF354" s="90">
        <v>0</v>
      </c>
      <c r="AG354" s="97" t="s">
        <v>1338</v>
      </c>
      <c r="AH354" s="90" t="b">
        <v>0</v>
      </c>
      <c r="AI354" s="90" t="s">
        <v>1442</v>
      </c>
      <c r="AJ354" s="90"/>
      <c r="AK354" s="97" t="s">
        <v>1338</v>
      </c>
      <c r="AL354" s="90" t="b">
        <v>0</v>
      </c>
      <c r="AM354" s="90">
        <v>14</v>
      </c>
      <c r="AN354" s="97" t="s">
        <v>1178</v>
      </c>
      <c r="AO354" s="97" t="s">
        <v>1451</v>
      </c>
      <c r="AP354" s="90" t="b">
        <v>0</v>
      </c>
      <c r="AQ354" s="97" t="s">
        <v>1178</v>
      </c>
      <c r="AR354" s="90" t="s">
        <v>187</v>
      </c>
      <c r="AS354" s="90">
        <v>0</v>
      </c>
      <c r="AT354" s="90">
        <v>0</v>
      </c>
      <c r="AU354" s="90"/>
      <c r="AV354" s="90"/>
      <c r="AW354" s="90"/>
      <c r="AX354" s="90"/>
      <c r="AY354" s="90"/>
      <c r="AZ354" s="90"/>
      <c r="BA354" s="90"/>
      <c r="BB354" s="90"/>
      <c r="BC354">
        <v>1</v>
      </c>
      <c r="BD354" s="89" t="str">
        <f>REPLACE(INDEX(GroupVertices[Group],MATCH(Edges[[#This Row],[Vertex 1]],GroupVertices[Vertex],0)),1,1,"")</f>
        <v>2</v>
      </c>
      <c r="BE354" s="89" t="str">
        <f>REPLACE(INDEX(GroupVertices[Group],MATCH(Edges[[#This Row],[Vertex 2]],GroupVertices[Vertex],0)),1,1,"")</f>
        <v>5</v>
      </c>
      <c r="BF354" s="49">
        <v>0</v>
      </c>
      <c r="BG354" s="50">
        <v>0</v>
      </c>
      <c r="BH354" s="49">
        <v>0</v>
      </c>
      <c r="BI354" s="50">
        <v>0</v>
      </c>
      <c r="BJ354" s="49">
        <v>0</v>
      </c>
      <c r="BK354" s="50">
        <v>0</v>
      </c>
      <c r="BL354" s="49">
        <v>29</v>
      </c>
      <c r="BM354" s="50">
        <v>100</v>
      </c>
      <c r="BN354" s="49">
        <v>29</v>
      </c>
    </row>
    <row r="355" spans="1:66" ht="15">
      <c r="A355" s="65" t="s">
        <v>334</v>
      </c>
      <c r="B355" s="65" t="s">
        <v>458</v>
      </c>
      <c r="C355" s="66" t="s">
        <v>5817</v>
      </c>
      <c r="D355" s="67">
        <v>1</v>
      </c>
      <c r="E355" s="68" t="s">
        <v>132</v>
      </c>
      <c r="F355" s="69">
        <v>32</v>
      </c>
      <c r="G355" s="66" t="s">
        <v>51</v>
      </c>
      <c r="H355" s="70"/>
      <c r="I355" s="71"/>
      <c r="J355" s="71"/>
      <c r="K355" s="35" t="s">
        <v>65</v>
      </c>
      <c r="L355" s="79">
        <v>355</v>
      </c>
      <c r="M355" s="79"/>
      <c r="N355" s="73"/>
      <c r="O355" s="90" t="s">
        <v>525</v>
      </c>
      <c r="P355" s="93">
        <v>44531.75009259259</v>
      </c>
      <c r="Q355" s="90" t="s">
        <v>626</v>
      </c>
      <c r="R355" s="90"/>
      <c r="S355" s="90"/>
      <c r="T355" s="90"/>
      <c r="U355" s="90"/>
      <c r="V355" s="96" t="str">
        <f>HYPERLINK("https://pbs.twimg.com/profile_images/1410560442368397318/612Msodv_normal.jpg")</f>
        <v>https://pbs.twimg.com/profile_images/1410560442368397318/612Msodv_normal.jpg</v>
      </c>
      <c r="W355" s="93">
        <v>44531.75009259259</v>
      </c>
      <c r="X355" s="100">
        <v>44531</v>
      </c>
      <c r="Y355" s="97" t="s">
        <v>874</v>
      </c>
      <c r="Z355" s="96" t="str">
        <f>HYPERLINK("https://twitter.com/pee_ranta/status/1466104843337179141")</f>
        <v>https://twitter.com/pee_ranta/status/1466104843337179141</v>
      </c>
      <c r="AA355" s="90"/>
      <c r="AB355" s="90"/>
      <c r="AC355" s="97" t="s">
        <v>1126</v>
      </c>
      <c r="AD355" s="90"/>
      <c r="AE355" s="90" t="b">
        <v>0</v>
      </c>
      <c r="AF355" s="90">
        <v>0</v>
      </c>
      <c r="AG355" s="97" t="s">
        <v>1338</v>
      </c>
      <c r="AH355" s="90" t="b">
        <v>0</v>
      </c>
      <c r="AI355" s="90" t="s">
        <v>1442</v>
      </c>
      <c r="AJ355" s="90"/>
      <c r="AK355" s="97" t="s">
        <v>1338</v>
      </c>
      <c r="AL355" s="90" t="b">
        <v>0</v>
      </c>
      <c r="AM355" s="90">
        <v>2</v>
      </c>
      <c r="AN355" s="97" t="s">
        <v>1209</v>
      </c>
      <c r="AO355" s="97" t="s">
        <v>1451</v>
      </c>
      <c r="AP355" s="90" t="b">
        <v>0</v>
      </c>
      <c r="AQ355" s="97" t="s">
        <v>1209</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2</v>
      </c>
      <c r="BE355" s="89" t="str">
        <f>REPLACE(INDEX(GroupVertices[Group],MATCH(Edges[[#This Row],[Vertex 2]],GroupVertices[Vertex],0)),1,1,"")</f>
        <v>2</v>
      </c>
      <c r="BF355" s="49"/>
      <c r="BG355" s="50"/>
      <c r="BH355" s="49"/>
      <c r="BI355" s="50"/>
      <c r="BJ355" s="49"/>
      <c r="BK355" s="50"/>
      <c r="BL355" s="49"/>
      <c r="BM355" s="50"/>
      <c r="BN355" s="49"/>
    </row>
    <row r="356" spans="1:66" ht="15">
      <c r="A356" s="65" t="s">
        <v>334</v>
      </c>
      <c r="B356" s="65" t="s">
        <v>372</v>
      </c>
      <c r="C356" s="66" t="s">
        <v>5817</v>
      </c>
      <c r="D356" s="67">
        <v>1</v>
      </c>
      <c r="E356" s="68" t="s">
        <v>132</v>
      </c>
      <c r="F356" s="69">
        <v>32</v>
      </c>
      <c r="G356" s="66" t="s">
        <v>51</v>
      </c>
      <c r="H356" s="70"/>
      <c r="I356" s="71"/>
      <c r="J356" s="71"/>
      <c r="K356" s="35" t="s">
        <v>65</v>
      </c>
      <c r="L356" s="79">
        <v>356</v>
      </c>
      <c r="M356" s="79"/>
      <c r="N356" s="73"/>
      <c r="O356" s="90" t="s">
        <v>522</v>
      </c>
      <c r="P356" s="93">
        <v>44531.75009259259</v>
      </c>
      <c r="Q356" s="90" t="s">
        <v>626</v>
      </c>
      <c r="R356" s="90"/>
      <c r="S356" s="90"/>
      <c r="T356" s="90"/>
      <c r="U356" s="90"/>
      <c r="V356" s="96" t="str">
        <f>HYPERLINK("https://pbs.twimg.com/profile_images/1410560442368397318/612Msodv_normal.jpg")</f>
        <v>https://pbs.twimg.com/profile_images/1410560442368397318/612Msodv_normal.jpg</v>
      </c>
      <c r="W356" s="93">
        <v>44531.75009259259</v>
      </c>
      <c r="X356" s="100">
        <v>44531</v>
      </c>
      <c r="Y356" s="97" t="s">
        <v>874</v>
      </c>
      <c r="Z356" s="96" t="str">
        <f>HYPERLINK("https://twitter.com/pee_ranta/status/1466104843337179141")</f>
        <v>https://twitter.com/pee_ranta/status/1466104843337179141</v>
      </c>
      <c r="AA356" s="90"/>
      <c r="AB356" s="90"/>
      <c r="AC356" s="97" t="s">
        <v>1126</v>
      </c>
      <c r="AD356" s="90"/>
      <c r="AE356" s="90" t="b">
        <v>0</v>
      </c>
      <c r="AF356" s="90">
        <v>0</v>
      </c>
      <c r="AG356" s="97" t="s">
        <v>1338</v>
      </c>
      <c r="AH356" s="90" t="b">
        <v>0</v>
      </c>
      <c r="AI356" s="90" t="s">
        <v>1442</v>
      </c>
      <c r="AJ356" s="90"/>
      <c r="AK356" s="97" t="s">
        <v>1338</v>
      </c>
      <c r="AL356" s="90" t="b">
        <v>0</v>
      </c>
      <c r="AM356" s="90">
        <v>2</v>
      </c>
      <c r="AN356" s="97" t="s">
        <v>1209</v>
      </c>
      <c r="AO356" s="97" t="s">
        <v>1451</v>
      </c>
      <c r="AP356" s="90" t="b">
        <v>0</v>
      </c>
      <c r="AQ356" s="97" t="s">
        <v>1209</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2</v>
      </c>
      <c r="BE356" s="89" t="str">
        <f>REPLACE(INDEX(GroupVertices[Group],MATCH(Edges[[#This Row],[Vertex 2]],GroupVertices[Vertex],0)),1,1,"")</f>
        <v>2</v>
      </c>
      <c r="BF356" s="49"/>
      <c r="BG356" s="50"/>
      <c r="BH356" s="49"/>
      <c r="BI356" s="50"/>
      <c r="BJ356" s="49"/>
      <c r="BK356" s="50"/>
      <c r="BL356" s="49"/>
      <c r="BM356" s="50"/>
      <c r="BN356" s="49"/>
    </row>
    <row r="357" spans="1:66" ht="15">
      <c r="A357" s="65" t="s">
        <v>334</v>
      </c>
      <c r="B357" s="65" t="s">
        <v>459</v>
      </c>
      <c r="C357" s="66" t="s">
        <v>5818</v>
      </c>
      <c r="D357" s="67">
        <v>1</v>
      </c>
      <c r="E357" s="68" t="s">
        <v>132</v>
      </c>
      <c r="F357" s="69">
        <v>32</v>
      </c>
      <c r="G357" s="66" t="s">
        <v>51</v>
      </c>
      <c r="H357" s="70"/>
      <c r="I357" s="71"/>
      <c r="J357" s="71"/>
      <c r="K357" s="35" t="s">
        <v>65</v>
      </c>
      <c r="L357" s="79">
        <v>357</v>
      </c>
      <c r="M357" s="79"/>
      <c r="N357" s="73"/>
      <c r="O357" s="90" t="s">
        <v>523</v>
      </c>
      <c r="P357" s="93">
        <v>44531.75009259259</v>
      </c>
      <c r="Q357" s="90" t="s">
        <v>626</v>
      </c>
      <c r="R357" s="90"/>
      <c r="S357" s="90"/>
      <c r="T357" s="90"/>
      <c r="U357" s="90"/>
      <c r="V357" s="96" t="str">
        <f>HYPERLINK("https://pbs.twimg.com/profile_images/1410560442368397318/612Msodv_normal.jpg")</f>
        <v>https://pbs.twimg.com/profile_images/1410560442368397318/612Msodv_normal.jpg</v>
      </c>
      <c r="W357" s="93">
        <v>44531.75009259259</v>
      </c>
      <c r="X357" s="100">
        <v>44531</v>
      </c>
      <c r="Y357" s="97" t="s">
        <v>874</v>
      </c>
      <c r="Z357" s="96" t="str">
        <f>HYPERLINK("https://twitter.com/pee_ranta/status/1466104843337179141")</f>
        <v>https://twitter.com/pee_ranta/status/1466104843337179141</v>
      </c>
      <c r="AA357" s="90"/>
      <c r="AB357" s="90"/>
      <c r="AC357" s="97" t="s">
        <v>1126</v>
      </c>
      <c r="AD357" s="90"/>
      <c r="AE357" s="90" t="b">
        <v>0</v>
      </c>
      <c r="AF357" s="90">
        <v>0</v>
      </c>
      <c r="AG357" s="97" t="s">
        <v>1338</v>
      </c>
      <c r="AH357" s="90" t="b">
        <v>0</v>
      </c>
      <c r="AI357" s="90" t="s">
        <v>1442</v>
      </c>
      <c r="AJ357" s="90"/>
      <c r="AK357" s="97" t="s">
        <v>1338</v>
      </c>
      <c r="AL357" s="90" t="b">
        <v>0</v>
      </c>
      <c r="AM357" s="90">
        <v>2</v>
      </c>
      <c r="AN357" s="97" t="s">
        <v>1209</v>
      </c>
      <c r="AO357" s="97" t="s">
        <v>1451</v>
      </c>
      <c r="AP357" s="90" t="b">
        <v>0</v>
      </c>
      <c r="AQ357" s="97" t="s">
        <v>1209</v>
      </c>
      <c r="AR357" s="90" t="s">
        <v>187</v>
      </c>
      <c r="AS357" s="90">
        <v>0</v>
      </c>
      <c r="AT357" s="90">
        <v>0</v>
      </c>
      <c r="AU357" s="90"/>
      <c r="AV357" s="90"/>
      <c r="AW357" s="90"/>
      <c r="AX357" s="90"/>
      <c r="AY357" s="90"/>
      <c r="AZ357" s="90"/>
      <c r="BA357" s="90"/>
      <c r="BB357" s="90"/>
      <c r="BC357">
        <v>2</v>
      </c>
      <c r="BD357" s="89" t="str">
        <f>REPLACE(INDEX(GroupVertices[Group],MATCH(Edges[[#This Row],[Vertex 1]],GroupVertices[Vertex],0)),1,1,"")</f>
        <v>2</v>
      </c>
      <c r="BE357" s="89" t="str">
        <f>REPLACE(INDEX(GroupVertices[Group],MATCH(Edges[[#This Row],[Vertex 2]],GroupVertices[Vertex],0)),1,1,"")</f>
        <v>2</v>
      </c>
      <c r="BF357" s="49">
        <v>0</v>
      </c>
      <c r="BG357" s="50">
        <v>0</v>
      </c>
      <c r="BH357" s="49">
        <v>0</v>
      </c>
      <c r="BI357" s="50">
        <v>0</v>
      </c>
      <c r="BJ357" s="49">
        <v>0</v>
      </c>
      <c r="BK357" s="50">
        <v>0</v>
      </c>
      <c r="BL357" s="49">
        <v>37</v>
      </c>
      <c r="BM357" s="50">
        <v>100</v>
      </c>
      <c r="BN357" s="49">
        <v>37</v>
      </c>
    </row>
    <row r="358" spans="1:66" ht="15">
      <c r="A358" s="65" t="s">
        <v>334</v>
      </c>
      <c r="B358" s="65" t="s">
        <v>458</v>
      </c>
      <c r="C358" s="66" t="s">
        <v>5817</v>
      </c>
      <c r="D358" s="67">
        <v>1</v>
      </c>
      <c r="E358" s="68" t="s">
        <v>132</v>
      </c>
      <c r="F358" s="69">
        <v>32</v>
      </c>
      <c r="G358" s="66" t="s">
        <v>51</v>
      </c>
      <c r="H358" s="70"/>
      <c r="I358" s="71"/>
      <c r="J358" s="71"/>
      <c r="K358" s="35" t="s">
        <v>65</v>
      </c>
      <c r="L358" s="79">
        <v>358</v>
      </c>
      <c r="M358" s="79"/>
      <c r="N358" s="73"/>
      <c r="O358" s="90" t="s">
        <v>524</v>
      </c>
      <c r="P358" s="93">
        <v>44531.75548611111</v>
      </c>
      <c r="Q358" s="90" t="s">
        <v>638</v>
      </c>
      <c r="R358" s="90"/>
      <c r="S358" s="90"/>
      <c r="T358" s="90"/>
      <c r="U358" s="96" t="str">
        <f>HYPERLINK("https://pbs.twimg.com/media/FFioXGnXIAIiMXs.jpg")</f>
        <v>https://pbs.twimg.com/media/FFioXGnXIAIiMXs.jpg</v>
      </c>
      <c r="V358" s="96" t="str">
        <f>HYPERLINK("https://pbs.twimg.com/media/FFioXGnXIAIiMXs.jpg")</f>
        <v>https://pbs.twimg.com/media/FFioXGnXIAIiMXs.jpg</v>
      </c>
      <c r="W358" s="93">
        <v>44531.75548611111</v>
      </c>
      <c r="X358" s="100">
        <v>44531</v>
      </c>
      <c r="Y358" s="97" t="s">
        <v>875</v>
      </c>
      <c r="Z358" s="96" t="str">
        <f>HYPERLINK("https://twitter.com/pee_ranta/status/1466106797551403009")</f>
        <v>https://twitter.com/pee_ranta/status/1466106797551403009</v>
      </c>
      <c r="AA358" s="90"/>
      <c r="AB358" s="90"/>
      <c r="AC358" s="97" t="s">
        <v>1127</v>
      </c>
      <c r="AD358" s="97" t="s">
        <v>1297</v>
      </c>
      <c r="AE358" s="90" t="b">
        <v>0</v>
      </c>
      <c r="AF358" s="90">
        <v>2</v>
      </c>
      <c r="AG358" s="97" t="s">
        <v>1410</v>
      </c>
      <c r="AH358" s="90" t="b">
        <v>0</v>
      </c>
      <c r="AI358" s="90" t="s">
        <v>1442</v>
      </c>
      <c r="AJ358" s="90"/>
      <c r="AK358" s="97" t="s">
        <v>1338</v>
      </c>
      <c r="AL358" s="90" t="b">
        <v>0</v>
      </c>
      <c r="AM358" s="90">
        <v>0</v>
      </c>
      <c r="AN358" s="97" t="s">
        <v>1338</v>
      </c>
      <c r="AO358" s="97" t="s">
        <v>1451</v>
      </c>
      <c r="AP358" s="90" t="b">
        <v>0</v>
      </c>
      <c r="AQ358" s="97" t="s">
        <v>1297</v>
      </c>
      <c r="AR358" s="90" t="s">
        <v>187</v>
      </c>
      <c r="AS358" s="90">
        <v>0</v>
      </c>
      <c r="AT358" s="90">
        <v>0</v>
      </c>
      <c r="AU358" s="90"/>
      <c r="AV358" s="90"/>
      <c r="AW358" s="90"/>
      <c r="AX358" s="90"/>
      <c r="AY358" s="90"/>
      <c r="AZ358" s="90"/>
      <c r="BA358" s="90"/>
      <c r="BB358" s="90"/>
      <c r="BC358">
        <v>1</v>
      </c>
      <c r="BD358" s="89" t="str">
        <f>REPLACE(INDEX(GroupVertices[Group],MATCH(Edges[[#This Row],[Vertex 1]],GroupVertices[Vertex],0)),1,1,"")</f>
        <v>2</v>
      </c>
      <c r="BE358" s="89" t="str">
        <f>REPLACE(INDEX(GroupVertices[Group],MATCH(Edges[[#This Row],[Vertex 2]],GroupVertices[Vertex],0)),1,1,"")</f>
        <v>2</v>
      </c>
      <c r="BF358" s="49"/>
      <c r="BG358" s="50"/>
      <c r="BH358" s="49"/>
      <c r="BI358" s="50"/>
      <c r="BJ358" s="49"/>
      <c r="BK358" s="50"/>
      <c r="BL358" s="49"/>
      <c r="BM358" s="50"/>
      <c r="BN358" s="49"/>
    </row>
    <row r="359" spans="1:66" ht="15">
      <c r="A359" s="65" t="s">
        <v>334</v>
      </c>
      <c r="B359" s="65" t="s">
        <v>459</v>
      </c>
      <c r="C359" s="66" t="s">
        <v>5818</v>
      </c>
      <c r="D359" s="67">
        <v>1</v>
      </c>
      <c r="E359" s="68" t="s">
        <v>132</v>
      </c>
      <c r="F359" s="69">
        <v>32</v>
      </c>
      <c r="G359" s="66" t="s">
        <v>51</v>
      </c>
      <c r="H359" s="70"/>
      <c r="I359" s="71"/>
      <c r="J359" s="71"/>
      <c r="K359" s="35" t="s">
        <v>65</v>
      </c>
      <c r="L359" s="79">
        <v>359</v>
      </c>
      <c r="M359" s="79"/>
      <c r="N359" s="73"/>
      <c r="O359" s="90" t="s">
        <v>523</v>
      </c>
      <c r="P359" s="93">
        <v>44531.75548611111</v>
      </c>
      <c r="Q359" s="90" t="s">
        <v>638</v>
      </c>
      <c r="R359" s="90"/>
      <c r="S359" s="90"/>
      <c r="T359" s="90"/>
      <c r="U359" s="96" t="str">
        <f>HYPERLINK("https://pbs.twimg.com/media/FFioXGnXIAIiMXs.jpg")</f>
        <v>https://pbs.twimg.com/media/FFioXGnXIAIiMXs.jpg</v>
      </c>
      <c r="V359" s="96" t="str">
        <f>HYPERLINK("https://pbs.twimg.com/media/FFioXGnXIAIiMXs.jpg")</f>
        <v>https://pbs.twimg.com/media/FFioXGnXIAIiMXs.jpg</v>
      </c>
      <c r="W359" s="93">
        <v>44531.75548611111</v>
      </c>
      <c r="X359" s="100">
        <v>44531</v>
      </c>
      <c r="Y359" s="97" t="s">
        <v>875</v>
      </c>
      <c r="Z359" s="96" t="str">
        <f>HYPERLINK("https://twitter.com/pee_ranta/status/1466106797551403009")</f>
        <v>https://twitter.com/pee_ranta/status/1466106797551403009</v>
      </c>
      <c r="AA359" s="90"/>
      <c r="AB359" s="90"/>
      <c r="AC359" s="97" t="s">
        <v>1127</v>
      </c>
      <c r="AD359" s="97" t="s">
        <v>1297</v>
      </c>
      <c r="AE359" s="90" t="b">
        <v>0</v>
      </c>
      <c r="AF359" s="90">
        <v>2</v>
      </c>
      <c r="AG359" s="97" t="s">
        <v>1410</v>
      </c>
      <c r="AH359" s="90" t="b">
        <v>0</v>
      </c>
      <c r="AI359" s="90" t="s">
        <v>1442</v>
      </c>
      <c r="AJ359" s="90"/>
      <c r="AK359" s="97" t="s">
        <v>1338</v>
      </c>
      <c r="AL359" s="90" t="b">
        <v>0</v>
      </c>
      <c r="AM359" s="90">
        <v>0</v>
      </c>
      <c r="AN359" s="97" t="s">
        <v>1338</v>
      </c>
      <c r="AO359" s="97" t="s">
        <v>1451</v>
      </c>
      <c r="AP359" s="90" t="b">
        <v>0</v>
      </c>
      <c r="AQ359" s="97" t="s">
        <v>1297</v>
      </c>
      <c r="AR359" s="90" t="s">
        <v>187</v>
      </c>
      <c r="AS359" s="90">
        <v>0</v>
      </c>
      <c r="AT359" s="90">
        <v>0</v>
      </c>
      <c r="AU359" s="90"/>
      <c r="AV359" s="90"/>
      <c r="AW359" s="90"/>
      <c r="AX359" s="90"/>
      <c r="AY359" s="90"/>
      <c r="AZ359" s="90"/>
      <c r="BA359" s="90"/>
      <c r="BB359" s="90"/>
      <c r="BC359">
        <v>2</v>
      </c>
      <c r="BD359" s="89" t="str">
        <f>REPLACE(INDEX(GroupVertices[Group],MATCH(Edges[[#This Row],[Vertex 1]],GroupVertices[Vertex],0)),1,1,"")</f>
        <v>2</v>
      </c>
      <c r="BE359" s="89" t="str">
        <f>REPLACE(INDEX(GroupVertices[Group],MATCH(Edges[[#This Row],[Vertex 2]],GroupVertices[Vertex],0)),1,1,"")</f>
        <v>2</v>
      </c>
      <c r="BF359" s="49">
        <v>0</v>
      </c>
      <c r="BG359" s="50">
        <v>0</v>
      </c>
      <c r="BH359" s="49">
        <v>0</v>
      </c>
      <c r="BI359" s="50">
        <v>0</v>
      </c>
      <c r="BJ359" s="49">
        <v>0</v>
      </c>
      <c r="BK359" s="50">
        <v>0</v>
      </c>
      <c r="BL359" s="49">
        <v>25</v>
      </c>
      <c r="BM359" s="50">
        <v>100</v>
      </c>
      <c r="BN359" s="49">
        <v>25</v>
      </c>
    </row>
    <row r="360" spans="1:66" ht="15">
      <c r="A360" s="65" t="s">
        <v>335</v>
      </c>
      <c r="B360" s="65" t="s">
        <v>481</v>
      </c>
      <c r="C360" s="66" t="s">
        <v>5817</v>
      </c>
      <c r="D360" s="67">
        <v>1</v>
      </c>
      <c r="E360" s="68" t="s">
        <v>132</v>
      </c>
      <c r="F360" s="69">
        <v>32</v>
      </c>
      <c r="G360" s="66" t="s">
        <v>51</v>
      </c>
      <c r="H360" s="70"/>
      <c r="I360" s="71"/>
      <c r="J360" s="71"/>
      <c r="K360" s="35" t="s">
        <v>65</v>
      </c>
      <c r="L360" s="79">
        <v>360</v>
      </c>
      <c r="M360" s="79"/>
      <c r="N360" s="73"/>
      <c r="O360" s="90" t="s">
        <v>524</v>
      </c>
      <c r="P360" s="93">
        <v>44531.76708333333</v>
      </c>
      <c r="Q360" s="90" t="s">
        <v>639</v>
      </c>
      <c r="R360" s="96" t="s">
        <v>686</v>
      </c>
      <c r="S360" s="90" t="s">
        <v>705</v>
      </c>
      <c r="T360" s="97" t="s">
        <v>715</v>
      </c>
      <c r="U360" s="90"/>
      <c r="V360" s="96" t="str">
        <f>HYPERLINK("https://pbs.twimg.com/profile_images/1295924987/B_40_normal.jpg")</f>
        <v>https://pbs.twimg.com/profile_images/1295924987/B_40_normal.jpg</v>
      </c>
      <c r="W360" s="93">
        <v>44531.76708333333</v>
      </c>
      <c r="X360" s="100">
        <v>44531</v>
      </c>
      <c r="Y360" s="97" t="s">
        <v>876</v>
      </c>
      <c r="Z360" s="96" t="str">
        <f>HYPERLINK("https://twitter.com/siniveikko/status/1466111002685104131")</f>
        <v>https://twitter.com/siniveikko/status/1466111002685104131</v>
      </c>
      <c r="AA360" s="90"/>
      <c r="AB360" s="90"/>
      <c r="AC360" s="97" t="s">
        <v>1128</v>
      </c>
      <c r="AD360" s="97" t="s">
        <v>1298</v>
      </c>
      <c r="AE360" s="90" t="b">
        <v>0</v>
      </c>
      <c r="AF360" s="90">
        <v>0</v>
      </c>
      <c r="AG360" s="97" t="s">
        <v>1411</v>
      </c>
      <c r="AH360" s="90" t="b">
        <v>0</v>
      </c>
      <c r="AI360" s="90" t="s">
        <v>1442</v>
      </c>
      <c r="AJ360" s="90"/>
      <c r="AK360" s="97" t="s">
        <v>1338</v>
      </c>
      <c r="AL360" s="90" t="b">
        <v>0</v>
      </c>
      <c r="AM360" s="90">
        <v>0</v>
      </c>
      <c r="AN360" s="97" t="s">
        <v>1338</v>
      </c>
      <c r="AO360" s="97" t="s">
        <v>1450</v>
      </c>
      <c r="AP360" s="90" t="b">
        <v>0</v>
      </c>
      <c r="AQ360" s="97" t="s">
        <v>1298</v>
      </c>
      <c r="AR360" s="90" t="s">
        <v>187</v>
      </c>
      <c r="AS360" s="90">
        <v>0</v>
      </c>
      <c r="AT360" s="90">
        <v>0</v>
      </c>
      <c r="AU360" s="90"/>
      <c r="AV360" s="90"/>
      <c r="AW360" s="90"/>
      <c r="AX360" s="90"/>
      <c r="AY360" s="90"/>
      <c r="AZ360" s="90"/>
      <c r="BA360" s="90"/>
      <c r="BB360" s="90"/>
      <c r="BC360">
        <v>1</v>
      </c>
      <c r="BD360" s="89" t="str">
        <f>REPLACE(INDEX(GroupVertices[Group],MATCH(Edges[[#This Row],[Vertex 1]],GroupVertices[Vertex],0)),1,1,"")</f>
        <v>3</v>
      </c>
      <c r="BE360" s="89" t="str">
        <f>REPLACE(INDEX(GroupVertices[Group],MATCH(Edges[[#This Row],[Vertex 2]],GroupVertices[Vertex],0)),1,1,"")</f>
        <v>3</v>
      </c>
      <c r="BF360" s="49"/>
      <c r="BG360" s="50"/>
      <c r="BH360" s="49"/>
      <c r="BI360" s="50"/>
      <c r="BJ360" s="49"/>
      <c r="BK360" s="50"/>
      <c r="BL360" s="49"/>
      <c r="BM360" s="50"/>
      <c r="BN360" s="49"/>
    </row>
    <row r="361" spans="1:66" ht="15">
      <c r="A361" s="65" t="s">
        <v>335</v>
      </c>
      <c r="B361" s="65" t="s">
        <v>482</v>
      </c>
      <c r="C361" s="66" t="s">
        <v>5817</v>
      </c>
      <c r="D361" s="67">
        <v>1</v>
      </c>
      <c r="E361" s="68" t="s">
        <v>132</v>
      </c>
      <c r="F361" s="69">
        <v>32</v>
      </c>
      <c r="G361" s="66" t="s">
        <v>51</v>
      </c>
      <c r="H361" s="70"/>
      <c r="I361" s="71"/>
      <c r="J361" s="71"/>
      <c r="K361" s="35" t="s">
        <v>65</v>
      </c>
      <c r="L361" s="79">
        <v>361</v>
      </c>
      <c r="M361" s="79"/>
      <c r="N361" s="73"/>
      <c r="O361" s="90" t="s">
        <v>523</v>
      </c>
      <c r="P361" s="93">
        <v>44531.76708333333</v>
      </c>
      <c r="Q361" s="90" t="s">
        <v>639</v>
      </c>
      <c r="R361" s="96" t="s">
        <v>686</v>
      </c>
      <c r="S361" s="90" t="s">
        <v>705</v>
      </c>
      <c r="T361" s="97" t="s">
        <v>715</v>
      </c>
      <c r="U361" s="90"/>
      <c r="V361" s="96" t="str">
        <f>HYPERLINK("https://pbs.twimg.com/profile_images/1295924987/B_40_normal.jpg")</f>
        <v>https://pbs.twimg.com/profile_images/1295924987/B_40_normal.jpg</v>
      </c>
      <c r="W361" s="93">
        <v>44531.76708333333</v>
      </c>
      <c r="X361" s="100">
        <v>44531</v>
      </c>
      <c r="Y361" s="97" t="s">
        <v>876</v>
      </c>
      <c r="Z361" s="96" t="str">
        <f>HYPERLINK("https://twitter.com/siniveikko/status/1466111002685104131")</f>
        <v>https://twitter.com/siniveikko/status/1466111002685104131</v>
      </c>
      <c r="AA361" s="90"/>
      <c r="AB361" s="90"/>
      <c r="AC361" s="97" t="s">
        <v>1128</v>
      </c>
      <c r="AD361" s="97" t="s">
        <v>1298</v>
      </c>
      <c r="AE361" s="90" t="b">
        <v>0</v>
      </c>
      <c r="AF361" s="90">
        <v>0</v>
      </c>
      <c r="AG361" s="97" t="s">
        <v>1411</v>
      </c>
      <c r="AH361" s="90" t="b">
        <v>0</v>
      </c>
      <c r="AI361" s="90" t="s">
        <v>1442</v>
      </c>
      <c r="AJ361" s="90"/>
      <c r="AK361" s="97" t="s">
        <v>1338</v>
      </c>
      <c r="AL361" s="90" t="b">
        <v>0</v>
      </c>
      <c r="AM361" s="90">
        <v>0</v>
      </c>
      <c r="AN361" s="97" t="s">
        <v>1338</v>
      </c>
      <c r="AO361" s="97" t="s">
        <v>1450</v>
      </c>
      <c r="AP361" s="90" t="b">
        <v>0</v>
      </c>
      <c r="AQ361" s="97" t="s">
        <v>1298</v>
      </c>
      <c r="AR361" s="90" t="s">
        <v>187</v>
      </c>
      <c r="AS361" s="90">
        <v>0</v>
      </c>
      <c r="AT361" s="90">
        <v>0</v>
      </c>
      <c r="AU361" s="90"/>
      <c r="AV361" s="90"/>
      <c r="AW361" s="90"/>
      <c r="AX361" s="90"/>
      <c r="AY361" s="90"/>
      <c r="AZ361" s="90"/>
      <c r="BA361" s="90"/>
      <c r="BB361" s="90"/>
      <c r="BC361">
        <v>1</v>
      </c>
      <c r="BD361" s="89" t="str">
        <f>REPLACE(INDEX(GroupVertices[Group],MATCH(Edges[[#This Row],[Vertex 1]],GroupVertices[Vertex],0)),1,1,"")</f>
        <v>3</v>
      </c>
      <c r="BE361" s="89" t="str">
        <f>REPLACE(INDEX(GroupVertices[Group],MATCH(Edges[[#This Row],[Vertex 2]],GroupVertices[Vertex],0)),1,1,"")</f>
        <v>3</v>
      </c>
      <c r="BF361" s="49">
        <v>0</v>
      </c>
      <c r="BG361" s="50">
        <v>0</v>
      </c>
      <c r="BH361" s="49">
        <v>0</v>
      </c>
      <c r="BI361" s="50">
        <v>0</v>
      </c>
      <c r="BJ361" s="49">
        <v>0</v>
      </c>
      <c r="BK361" s="50">
        <v>0</v>
      </c>
      <c r="BL361" s="49">
        <v>21</v>
      </c>
      <c r="BM361" s="50">
        <v>100</v>
      </c>
      <c r="BN361" s="49">
        <v>21</v>
      </c>
    </row>
    <row r="362" spans="1:66" ht="15">
      <c r="A362" s="65" t="s">
        <v>336</v>
      </c>
      <c r="B362" s="65" t="s">
        <v>483</v>
      </c>
      <c r="C362" s="66" t="s">
        <v>5817</v>
      </c>
      <c r="D362" s="67">
        <v>1</v>
      </c>
      <c r="E362" s="68" t="s">
        <v>132</v>
      </c>
      <c r="F362" s="69">
        <v>32</v>
      </c>
      <c r="G362" s="66" t="s">
        <v>51</v>
      </c>
      <c r="H362" s="70"/>
      <c r="I362" s="71"/>
      <c r="J362" s="71"/>
      <c r="K362" s="35" t="s">
        <v>65</v>
      </c>
      <c r="L362" s="79">
        <v>362</v>
      </c>
      <c r="M362" s="79"/>
      <c r="N362" s="73"/>
      <c r="O362" s="90" t="s">
        <v>524</v>
      </c>
      <c r="P362" s="93">
        <v>44531.81375</v>
      </c>
      <c r="Q362" s="90" t="s">
        <v>640</v>
      </c>
      <c r="R362" s="90"/>
      <c r="S362" s="90"/>
      <c r="T362" s="90"/>
      <c r="U362" s="90"/>
      <c r="V362" s="96" t="str">
        <f>HYPERLINK("https://pbs.twimg.com/profile_images/1404842253508661253/_5HmNERE_normal.jpg")</f>
        <v>https://pbs.twimg.com/profile_images/1404842253508661253/_5HmNERE_normal.jpg</v>
      </c>
      <c r="W362" s="93">
        <v>44531.81375</v>
      </c>
      <c r="X362" s="100">
        <v>44531</v>
      </c>
      <c r="Y362" s="97" t="s">
        <v>877</v>
      </c>
      <c r="Z362" s="96" t="str">
        <f>HYPERLINK("https://twitter.com/vainikainen/status/1466127911463890944")</f>
        <v>https://twitter.com/vainikainen/status/1466127911463890944</v>
      </c>
      <c r="AA362" s="90"/>
      <c r="AB362" s="90"/>
      <c r="AC362" s="97" t="s">
        <v>1129</v>
      </c>
      <c r="AD362" s="97" t="s">
        <v>1299</v>
      </c>
      <c r="AE362" s="90" t="b">
        <v>0</v>
      </c>
      <c r="AF362" s="90">
        <v>4</v>
      </c>
      <c r="AG362" s="97" t="s">
        <v>1385</v>
      </c>
      <c r="AH362" s="90" t="b">
        <v>0</v>
      </c>
      <c r="AI362" s="90" t="s">
        <v>1442</v>
      </c>
      <c r="AJ362" s="90"/>
      <c r="AK362" s="97" t="s">
        <v>1338</v>
      </c>
      <c r="AL362" s="90" t="b">
        <v>0</v>
      </c>
      <c r="AM362" s="90">
        <v>0</v>
      </c>
      <c r="AN362" s="97" t="s">
        <v>1338</v>
      </c>
      <c r="AO362" s="97" t="s">
        <v>1450</v>
      </c>
      <c r="AP362" s="90" t="b">
        <v>0</v>
      </c>
      <c r="AQ362" s="97" t="s">
        <v>1299</v>
      </c>
      <c r="AR362" s="90" t="s">
        <v>187</v>
      </c>
      <c r="AS362" s="90">
        <v>0</v>
      </c>
      <c r="AT362" s="90">
        <v>0</v>
      </c>
      <c r="AU362" s="90"/>
      <c r="AV362" s="90"/>
      <c r="AW362" s="90"/>
      <c r="AX362" s="90"/>
      <c r="AY362" s="90"/>
      <c r="AZ362" s="90"/>
      <c r="BA362" s="90"/>
      <c r="BB362" s="90"/>
      <c r="BC362">
        <v>1</v>
      </c>
      <c r="BD362" s="89" t="str">
        <f>REPLACE(INDEX(GroupVertices[Group],MATCH(Edges[[#This Row],[Vertex 1]],GroupVertices[Vertex],0)),1,1,"")</f>
        <v>2</v>
      </c>
      <c r="BE362" s="89" t="str">
        <f>REPLACE(INDEX(GroupVertices[Group],MATCH(Edges[[#This Row],[Vertex 2]],GroupVertices[Vertex],0)),1,1,"")</f>
        <v>2</v>
      </c>
      <c r="BF362" s="49">
        <v>0</v>
      </c>
      <c r="BG362" s="50">
        <v>0</v>
      </c>
      <c r="BH362" s="49">
        <v>0</v>
      </c>
      <c r="BI362" s="50">
        <v>0</v>
      </c>
      <c r="BJ362" s="49">
        <v>0</v>
      </c>
      <c r="BK362" s="50">
        <v>0</v>
      </c>
      <c r="BL362" s="49">
        <v>20</v>
      </c>
      <c r="BM362" s="50">
        <v>100</v>
      </c>
      <c r="BN362" s="49">
        <v>20</v>
      </c>
    </row>
    <row r="363" spans="1:66" ht="15">
      <c r="A363" s="65" t="s">
        <v>336</v>
      </c>
      <c r="B363" s="65" t="s">
        <v>458</v>
      </c>
      <c r="C363" s="66" t="s">
        <v>5817</v>
      </c>
      <c r="D363" s="67">
        <v>1</v>
      </c>
      <c r="E363" s="68" t="s">
        <v>132</v>
      </c>
      <c r="F363" s="69">
        <v>32</v>
      </c>
      <c r="G363" s="66" t="s">
        <v>51</v>
      </c>
      <c r="H363" s="70"/>
      <c r="I363" s="71"/>
      <c r="J363" s="71"/>
      <c r="K363" s="35" t="s">
        <v>65</v>
      </c>
      <c r="L363" s="79">
        <v>363</v>
      </c>
      <c r="M363" s="79"/>
      <c r="N363" s="73"/>
      <c r="O363" s="90" t="s">
        <v>524</v>
      </c>
      <c r="P363" s="93">
        <v>44531.81375</v>
      </c>
      <c r="Q363" s="90" t="s">
        <v>640</v>
      </c>
      <c r="R363" s="90"/>
      <c r="S363" s="90"/>
      <c r="T363" s="90"/>
      <c r="U363" s="90"/>
      <c r="V363" s="96" t="str">
        <f>HYPERLINK("https://pbs.twimg.com/profile_images/1404842253508661253/_5HmNERE_normal.jpg")</f>
        <v>https://pbs.twimg.com/profile_images/1404842253508661253/_5HmNERE_normal.jpg</v>
      </c>
      <c r="W363" s="93">
        <v>44531.81375</v>
      </c>
      <c r="X363" s="100">
        <v>44531</v>
      </c>
      <c r="Y363" s="97" t="s">
        <v>877</v>
      </c>
      <c r="Z363" s="96" t="str">
        <f>HYPERLINK("https://twitter.com/vainikainen/status/1466127911463890944")</f>
        <v>https://twitter.com/vainikainen/status/1466127911463890944</v>
      </c>
      <c r="AA363" s="90"/>
      <c r="AB363" s="90"/>
      <c r="AC363" s="97" t="s">
        <v>1129</v>
      </c>
      <c r="AD363" s="97" t="s">
        <v>1299</v>
      </c>
      <c r="AE363" s="90" t="b">
        <v>0</v>
      </c>
      <c r="AF363" s="90">
        <v>4</v>
      </c>
      <c r="AG363" s="97" t="s">
        <v>1385</v>
      </c>
      <c r="AH363" s="90" t="b">
        <v>0</v>
      </c>
      <c r="AI363" s="90" t="s">
        <v>1442</v>
      </c>
      <c r="AJ363" s="90"/>
      <c r="AK363" s="97" t="s">
        <v>1338</v>
      </c>
      <c r="AL363" s="90" t="b">
        <v>0</v>
      </c>
      <c r="AM363" s="90">
        <v>0</v>
      </c>
      <c r="AN363" s="97" t="s">
        <v>1338</v>
      </c>
      <c r="AO363" s="97" t="s">
        <v>1450</v>
      </c>
      <c r="AP363" s="90" t="b">
        <v>0</v>
      </c>
      <c r="AQ363" s="97" t="s">
        <v>1299</v>
      </c>
      <c r="AR363" s="90" t="s">
        <v>187</v>
      </c>
      <c r="AS363" s="90">
        <v>0</v>
      </c>
      <c r="AT363" s="90">
        <v>0</v>
      </c>
      <c r="AU363" s="90"/>
      <c r="AV363" s="90"/>
      <c r="AW363" s="90"/>
      <c r="AX363" s="90"/>
      <c r="AY363" s="90"/>
      <c r="AZ363" s="90"/>
      <c r="BA363" s="90"/>
      <c r="BB363" s="90"/>
      <c r="BC363">
        <v>1</v>
      </c>
      <c r="BD363" s="89" t="str">
        <f>REPLACE(INDEX(GroupVertices[Group],MATCH(Edges[[#This Row],[Vertex 1]],GroupVertices[Vertex],0)),1,1,"")</f>
        <v>2</v>
      </c>
      <c r="BE363" s="89" t="str">
        <f>REPLACE(INDEX(GroupVertices[Group],MATCH(Edges[[#This Row],[Vertex 2]],GroupVertices[Vertex],0)),1,1,"")</f>
        <v>2</v>
      </c>
      <c r="BF363" s="49"/>
      <c r="BG363" s="50"/>
      <c r="BH363" s="49"/>
      <c r="BI363" s="50"/>
      <c r="BJ363" s="49"/>
      <c r="BK363" s="50"/>
      <c r="BL363" s="49"/>
      <c r="BM363" s="50"/>
      <c r="BN363" s="49"/>
    </row>
    <row r="364" spans="1:66" ht="15">
      <c r="A364" s="65" t="s">
        <v>336</v>
      </c>
      <c r="B364" s="65" t="s">
        <v>459</v>
      </c>
      <c r="C364" s="66" t="s">
        <v>5817</v>
      </c>
      <c r="D364" s="67">
        <v>1</v>
      </c>
      <c r="E364" s="68" t="s">
        <v>132</v>
      </c>
      <c r="F364" s="69">
        <v>32</v>
      </c>
      <c r="G364" s="66" t="s">
        <v>51</v>
      </c>
      <c r="H364" s="70"/>
      <c r="I364" s="71"/>
      <c r="J364" s="71"/>
      <c r="K364" s="35" t="s">
        <v>65</v>
      </c>
      <c r="L364" s="79">
        <v>364</v>
      </c>
      <c r="M364" s="79"/>
      <c r="N364" s="73"/>
      <c r="O364" s="90" t="s">
        <v>523</v>
      </c>
      <c r="P364" s="93">
        <v>44531.81375</v>
      </c>
      <c r="Q364" s="90" t="s">
        <v>640</v>
      </c>
      <c r="R364" s="90"/>
      <c r="S364" s="90"/>
      <c r="T364" s="90"/>
      <c r="U364" s="90"/>
      <c r="V364" s="96" t="str">
        <f>HYPERLINK("https://pbs.twimg.com/profile_images/1404842253508661253/_5HmNERE_normal.jpg")</f>
        <v>https://pbs.twimg.com/profile_images/1404842253508661253/_5HmNERE_normal.jpg</v>
      </c>
      <c r="W364" s="93">
        <v>44531.81375</v>
      </c>
      <c r="X364" s="100">
        <v>44531</v>
      </c>
      <c r="Y364" s="97" t="s">
        <v>877</v>
      </c>
      <c r="Z364" s="96" t="str">
        <f>HYPERLINK("https://twitter.com/vainikainen/status/1466127911463890944")</f>
        <v>https://twitter.com/vainikainen/status/1466127911463890944</v>
      </c>
      <c r="AA364" s="90"/>
      <c r="AB364" s="90"/>
      <c r="AC364" s="97" t="s">
        <v>1129</v>
      </c>
      <c r="AD364" s="97" t="s">
        <v>1299</v>
      </c>
      <c r="AE364" s="90" t="b">
        <v>0</v>
      </c>
      <c r="AF364" s="90">
        <v>4</v>
      </c>
      <c r="AG364" s="97" t="s">
        <v>1385</v>
      </c>
      <c r="AH364" s="90" t="b">
        <v>0</v>
      </c>
      <c r="AI364" s="90" t="s">
        <v>1442</v>
      </c>
      <c r="AJ364" s="90"/>
      <c r="AK364" s="97" t="s">
        <v>1338</v>
      </c>
      <c r="AL364" s="90" t="b">
        <v>0</v>
      </c>
      <c r="AM364" s="90">
        <v>0</v>
      </c>
      <c r="AN364" s="97" t="s">
        <v>1338</v>
      </c>
      <c r="AO364" s="97" t="s">
        <v>1450</v>
      </c>
      <c r="AP364" s="90" t="b">
        <v>0</v>
      </c>
      <c r="AQ364" s="97" t="s">
        <v>1299</v>
      </c>
      <c r="AR364" s="90" t="s">
        <v>187</v>
      </c>
      <c r="AS364" s="90">
        <v>0</v>
      </c>
      <c r="AT364" s="90">
        <v>0</v>
      </c>
      <c r="AU364" s="90"/>
      <c r="AV364" s="90"/>
      <c r="AW364" s="90"/>
      <c r="AX364" s="90"/>
      <c r="AY364" s="90"/>
      <c r="AZ364" s="90"/>
      <c r="BA364" s="90"/>
      <c r="BB364" s="90"/>
      <c r="BC364">
        <v>1</v>
      </c>
      <c r="BD364" s="89" t="str">
        <f>REPLACE(INDEX(GroupVertices[Group],MATCH(Edges[[#This Row],[Vertex 1]],GroupVertices[Vertex],0)),1,1,"")</f>
        <v>2</v>
      </c>
      <c r="BE364" s="89" t="str">
        <f>REPLACE(INDEX(GroupVertices[Group],MATCH(Edges[[#This Row],[Vertex 2]],GroupVertices[Vertex],0)),1,1,"")</f>
        <v>2</v>
      </c>
      <c r="BF364" s="49"/>
      <c r="BG364" s="50"/>
      <c r="BH364" s="49"/>
      <c r="BI364" s="50"/>
      <c r="BJ364" s="49"/>
      <c r="BK364" s="50"/>
      <c r="BL364" s="49"/>
      <c r="BM364" s="50"/>
      <c r="BN364" s="49"/>
    </row>
    <row r="365" spans="1:66" ht="15">
      <c r="A365" s="65" t="s">
        <v>337</v>
      </c>
      <c r="B365" s="65" t="s">
        <v>458</v>
      </c>
      <c r="C365" s="66" t="s">
        <v>5817</v>
      </c>
      <c r="D365" s="67">
        <v>1</v>
      </c>
      <c r="E365" s="68" t="s">
        <v>132</v>
      </c>
      <c r="F365" s="69">
        <v>32</v>
      </c>
      <c r="G365" s="66" t="s">
        <v>51</v>
      </c>
      <c r="H365" s="70"/>
      <c r="I365" s="71"/>
      <c r="J365" s="71"/>
      <c r="K365" s="35" t="s">
        <v>65</v>
      </c>
      <c r="L365" s="79">
        <v>365</v>
      </c>
      <c r="M365" s="79"/>
      <c r="N365" s="73"/>
      <c r="O365" s="90" t="s">
        <v>524</v>
      </c>
      <c r="P365" s="93">
        <v>44531.82697916667</v>
      </c>
      <c r="Q365" s="90" t="s">
        <v>641</v>
      </c>
      <c r="R365" s="90"/>
      <c r="S365" s="90"/>
      <c r="T365" s="90"/>
      <c r="U365" s="90"/>
      <c r="V365" s="96" t="str">
        <f>HYPERLINK("https://pbs.twimg.com/profile_images/1185459634817122304/VgFrM8BT_normal.jpg")</f>
        <v>https://pbs.twimg.com/profile_images/1185459634817122304/VgFrM8BT_normal.jpg</v>
      </c>
      <c r="W365" s="93">
        <v>44531.82697916667</v>
      </c>
      <c r="X365" s="100">
        <v>44531</v>
      </c>
      <c r="Y365" s="97" t="s">
        <v>878</v>
      </c>
      <c r="Z365" s="96" t="str">
        <f>HYPERLINK("https://twitter.com/jammusaloniemi/status/1466132708913029127")</f>
        <v>https://twitter.com/jammusaloniemi/status/1466132708913029127</v>
      </c>
      <c r="AA365" s="90"/>
      <c r="AB365" s="90"/>
      <c r="AC365" s="97" t="s">
        <v>1130</v>
      </c>
      <c r="AD365" s="97" t="s">
        <v>1209</v>
      </c>
      <c r="AE365" s="90" t="b">
        <v>0</v>
      </c>
      <c r="AF365" s="90">
        <v>0</v>
      </c>
      <c r="AG365" s="97" t="s">
        <v>1400</v>
      </c>
      <c r="AH365" s="90" t="b">
        <v>0</v>
      </c>
      <c r="AI365" s="90" t="s">
        <v>1442</v>
      </c>
      <c r="AJ365" s="90"/>
      <c r="AK365" s="97" t="s">
        <v>1338</v>
      </c>
      <c r="AL365" s="90" t="b">
        <v>0</v>
      </c>
      <c r="AM365" s="90">
        <v>0</v>
      </c>
      <c r="AN365" s="97" t="s">
        <v>1338</v>
      </c>
      <c r="AO365" s="97" t="s">
        <v>1451</v>
      </c>
      <c r="AP365" s="90" t="b">
        <v>0</v>
      </c>
      <c r="AQ365" s="97" t="s">
        <v>1209</v>
      </c>
      <c r="AR365" s="90" t="s">
        <v>187</v>
      </c>
      <c r="AS365" s="90">
        <v>0</v>
      </c>
      <c r="AT365" s="90">
        <v>0</v>
      </c>
      <c r="AU365" s="90"/>
      <c r="AV365" s="90"/>
      <c r="AW365" s="90"/>
      <c r="AX365" s="90"/>
      <c r="AY365" s="90"/>
      <c r="AZ365" s="90"/>
      <c r="BA365" s="90"/>
      <c r="BB365" s="90"/>
      <c r="BC365">
        <v>1</v>
      </c>
      <c r="BD365" s="89" t="str">
        <f>REPLACE(INDEX(GroupVertices[Group],MATCH(Edges[[#This Row],[Vertex 1]],GroupVertices[Vertex],0)),1,1,"")</f>
        <v>2</v>
      </c>
      <c r="BE365" s="89" t="str">
        <f>REPLACE(INDEX(GroupVertices[Group],MATCH(Edges[[#This Row],[Vertex 2]],GroupVertices[Vertex],0)),1,1,"")</f>
        <v>2</v>
      </c>
      <c r="BF365" s="49"/>
      <c r="BG365" s="50"/>
      <c r="BH365" s="49"/>
      <c r="BI365" s="50"/>
      <c r="BJ365" s="49"/>
      <c r="BK365" s="50"/>
      <c r="BL365" s="49"/>
      <c r="BM365" s="50"/>
      <c r="BN365" s="49"/>
    </row>
    <row r="366" spans="1:66" ht="15">
      <c r="A366" s="65" t="s">
        <v>337</v>
      </c>
      <c r="B366" s="65" t="s">
        <v>459</v>
      </c>
      <c r="C366" s="66" t="s">
        <v>5817</v>
      </c>
      <c r="D366" s="67">
        <v>1</v>
      </c>
      <c r="E366" s="68" t="s">
        <v>132</v>
      </c>
      <c r="F366" s="69">
        <v>32</v>
      </c>
      <c r="G366" s="66" t="s">
        <v>51</v>
      </c>
      <c r="H366" s="70"/>
      <c r="I366" s="71"/>
      <c r="J366" s="71"/>
      <c r="K366" s="35" t="s">
        <v>65</v>
      </c>
      <c r="L366" s="79">
        <v>366</v>
      </c>
      <c r="M366" s="79"/>
      <c r="N366" s="73"/>
      <c r="O366" s="90" t="s">
        <v>524</v>
      </c>
      <c r="P366" s="93">
        <v>44531.82697916667</v>
      </c>
      <c r="Q366" s="90" t="s">
        <v>641</v>
      </c>
      <c r="R366" s="90"/>
      <c r="S366" s="90"/>
      <c r="T366" s="90"/>
      <c r="U366" s="90"/>
      <c r="V366" s="96" t="str">
        <f>HYPERLINK("https://pbs.twimg.com/profile_images/1185459634817122304/VgFrM8BT_normal.jpg")</f>
        <v>https://pbs.twimg.com/profile_images/1185459634817122304/VgFrM8BT_normal.jpg</v>
      </c>
      <c r="W366" s="93">
        <v>44531.82697916667</v>
      </c>
      <c r="X366" s="100">
        <v>44531</v>
      </c>
      <c r="Y366" s="97" t="s">
        <v>878</v>
      </c>
      <c r="Z366" s="96" t="str">
        <f>HYPERLINK("https://twitter.com/jammusaloniemi/status/1466132708913029127")</f>
        <v>https://twitter.com/jammusaloniemi/status/1466132708913029127</v>
      </c>
      <c r="AA366" s="90"/>
      <c r="AB366" s="90"/>
      <c r="AC366" s="97" t="s">
        <v>1130</v>
      </c>
      <c r="AD366" s="97" t="s">
        <v>1209</v>
      </c>
      <c r="AE366" s="90" t="b">
        <v>0</v>
      </c>
      <c r="AF366" s="90">
        <v>0</v>
      </c>
      <c r="AG366" s="97" t="s">
        <v>1400</v>
      </c>
      <c r="AH366" s="90" t="b">
        <v>0</v>
      </c>
      <c r="AI366" s="90" t="s">
        <v>1442</v>
      </c>
      <c r="AJ366" s="90"/>
      <c r="AK366" s="97" t="s">
        <v>1338</v>
      </c>
      <c r="AL366" s="90" t="b">
        <v>0</v>
      </c>
      <c r="AM366" s="90">
        <v>0</v>
      </c>
      <c r="AN366" s="97" t="s">
        <v>1338</v>
      </c>
      <c r="AO366" s="97" t="s">
        <v>1451</v>
      </c>
      <c r="AP366" s="90" t="b">
        <v>0</v>
      </c>
      <c r="AQ366" s="97" t="s">
        <v>1209</v>
      </c>
      <c r="AR366" s="90" t="s">
        <v>187</v>
      </c>
      <c r="AS366" s="90">
        <v>0</v>
      </c>
      <c r="AT366" s="90">
        <v>0</v>
      </c>
      <c r="AU366" s="90"/>
      <c r="AV366" s="90"/>
      <c r="AW366" s="90"/>
      <c r="AX366" s="90"/>
      <c r="AY366" s="90"/>
      <c r="AZ366" s="90"/>
      <c r="BA366" s="90"/>
      <c r="BB366" s="90"/>
      <c r="BC366">
        <v>1</v>
      </c>
      <c r="BD366" s="89" t="str">
        <f>REPLACE(INDEX(GroupVertices[Group],MATCH(Edges[[#This Row],[Vertex 1]],GroupVertices[Vertex],0)),1,1,"")</f>
        <v>2</v>
      </c>
      <c r="BE366" s="89" t="str">
        <f>REPLACE(INDEX(GroupVertices[Group],MATCH(Edges[[#This Row],[Vertex 2]],GroupVertices[Vertex],0)),1,1,"")</f>
        <v>2</v>
      </c>
      <c r="BF366" s="49"/>
      <c r="BG366" s="50"/>
      <c r="BH366" s="49"/>
      <c r="BI366" s="50"/>
      <c r="BJ366" s="49"/>
      <c r="BK366" s="50"/>
      <c r="BL366" s="49"/>
      <c r="BM366" s="50"/>
      <c r="BN366" s="49"/>
    </row>
    <row r="367" spans="1:66" ht="15">
      <c r="A367" s="65" t="s">
        <v>337</v>
      </c>
      <c r="B367" s="65" t="s">
        <v>372</v>
      </c>
      <c r="C367" s="66" t="s">
        <v>5817</v>
      </c>
      <c r="D367" s="67">
        <v>1</v>
      </c>
      <c r="E367" s="68" t="s">
        <v>132</v>
      </c>
      <c r="F367" s="69">
        <v>32</v>
      </c>
      <c r="G367" s="66" t="s">
        <v>51</v>
      </c>
      <c r="H367" s="70"/>
      <c r="I367" s="71"/>
      <c r="J367" s="71"/>
      <c r="K367" s="35" t="s">
        <v>65</v>
      </c>
      <c r="L367" s="79">
        <v>367</v>
      </c>
      <c r="M367" s="79"/>
      <c r="N367" s="73"/>
      <c r="O367" s="90" t="s">
        <v>523</v>
      </c>
      <c r="P367" s="93">
        <v>44531.82697916667</v>
      </c>
      <c r="Q367" s="90" t="s">
        <v>641</v>
      </c>
      <c r="R367" s="90"/>
      <c r="S367" s="90"/>
      <c r="T367" s="90"/>
      <c r="U367" s="90"/>
      <c r="V367" s="96" t="str">
        <f>HYPERLINK("https://pbs.twimg.com/profile_images/1185459634817122304/VgFrM8BT_normal.jpg")</f>
        <v>https://pbs.twimg.com/profile_images/1185459634817122304/VgFrM8BT_normal.jpg</v>
      </c>
      <c r="W367" s="93">
        <v>44531.82697916667</v>
      </c>
      <c r="X367" s="100">
        <v>44531</v>
      </c>
      <c r="Y367" s="97" t="s">
        <v>878</v>
      </c>
      <c r="Z367" s="96" t="str">
        <f>HYPERLINK("https://twitter.com/jammusaloniemi/status/1466132708913029127")</f>
        <v>https://twitter.com/jammusaloniemi/status/1466132708913029127</v>
      </c>
      <c r="AA367" s="90"/>
      <c r="AB367" s="90"/>
      <c r="AC367" s="97" t="s">
        <v>1130</v>
      </c>
      <c r="AD367" s="97" t="s">
        <v>1209</v>
      </c>
      <c r="AE367" s="90" t="b">
        <v>0</v>
      </c>
      <c r="AF367" s="90">
        <v>0</v>
      </c>
      <c r="AG367" s="97" t="s">
        <v>1400</v>
      </c>
      <c r="AH367" s="90" t="b">
        <v>0</v>
      </c>
      <c r="AI367" s="90" t="s">
        <v>1442</v>
      </c>
      <c r="AJ367" s="90"/>
      <c r="AK367" s="97" t="s">
        <v>1338</v>
      </c>
      <c r="AL367" s="90" t="b">
        <v>0</v>
      </c>
      <c r="AM367" s="90">
        <v>0</v>
      </c>
      <c r="AN367" s="97" t="s">
        <v>1338</v>
      </c>
      <c r="AO367" s="97" t="s">
        <v>1451</v>
      </c>
      <c r="AP367" s="90" t="b">
        <v>0</v>
      </c>
      <c r="AQ367" s="97" t="s">
        <v>1209</v>
      </c>
      <c r="AR367" s="90" t="s">
        <v>187</v>
      </c>
      <c r="AS367" s="90">
        <v>0</v>
      </c>
      <c r="AT367" s="90">
        <v>0</v>
      </c>
      <c r="AU367" s="90"/>
      <c r="AV367" s="90"/>
      <c r="AW367" s="90"/>
      <c r="AX367" s="90"/>
      <c r="AY367" s="90"/>
      <c r="AZ367" s="90"/>
      <c r="BA367" s="90"/>
      <c r="BB367" s="90"/>
      <c r="BC367">
        <v>1</v>
      </c>
      <c r="BD367" s="89" t="str">
        <f>REPLACE(INDEX(GroupVertices[Group],MATCH(Edges[[#This Row],[Vertex 1]],GroupVertices[Vertex],0)),1,1,"")</f>
        <v>2</v>
      </c>
      <c r="BE367" s="89" t="str">
        <f>REPLACE(INDEX(GroupVertices[Group],MATCH(Edges[[#This Row],[Vertex 2]],GroupVertices[Vertex],0)),1,1,"")</f>
        <v>2</v>
      </c>
      <c r="BF367" s="49">
        <v>0</v>
      </c>
      <c r="BG367" s="50">
        <v>0</v>
      </c>
      <c r="BH367" s="49">
        <v>0</v>
      </c>
      <c r="BI367" s="50">
        <v>0</v>
      </c>
      <c r="BJ367" s="49">
        <v>0</v>
      </c>
      <c r="BK367" s="50">
        <v>0</v>
      </c>
      <c r="BL367" s="49">
        <v>16</v>
      </c>
      <c r="BM367" s="50">
        <v>100</v>
      </c>
      <c r="BN367" s="49">
        <v>16</v>
      </c>
    </row>
    <row r="368" spans="1:66" ht="15">
      <c r="A368" s="65" t="s">
        <v>281</v>
      </c>
      <c r="B368" s="65" t="s">
        <v>399</v>
      </c>
      <c r="C368" s="66" t="s">
        <v>5817</v>
      </c>
      <c r="D368" s="67">
        <v>1</v>
      </c>
      <c r="E368" s="68" t="s">
        <v>132</v>
      </c>
      <c r="F368" s="69">
        <v>32</v>
      </c>
      <c r="G368" s="66" t="s">
        <v>51</v>
      </c>
      <c r="H368" s="70"/>
      <c r="I368" s="71"/>
      <c r="J368" s="71"/>
      <c r="K368" s="35" t="s">
        <v>65</v>
      </c>
      <c r="L368" s="79">
        <v>368</v>
      </c>
      <c r="M368" s="79"/>
      <c r="N368" s="73"/>
      <c r="O368" s="90" t="s">
        <v>523</v>
      </c>
      <c r="P368" s="93">
        <v>44528.50177083333</v>
      </c>
      <c r="Q368" s="90" t="s">
        <v>642</v>
      </c>
      <c r="R368" s="90"/>
      <c r="S368" s="90"/>
      <c r="T368" s="90"/>
      <c r="U368" s="90"/>
      <c r="V368" s="96" t="str">
        <f>HYPERLINK("https://pbs.twimg.com/profile_images/1076890640905134080/vdh2syxK_normal.jpg")</f>
        <v>https://pbs.twimg.com/profile_images/1076890640905134080/vdh2syxK_normal.jpg</v>
      </c>
      <c r="W368" s="93">
        <v>44528.50177083333</v>
      </c>
      <c r="X368" s="100">
        <v>44528</v>
      </c>
      <c r="Y368" s="97" t="s">
        <v>879</v>
      </c>
      <c r="Z368" s="96" t="str">
        <f>HYPERLINK("https://twitter.com/benelef999/status/1464927692583837696")</f>
        <v>https://twitter.com/benelef999/status/1464927692583837696</v>
      </c>
      <c r="AA368" s="90"/>
      <c r="AB368" s="90"/>
      <c r="AC368" s="97" t="s">
        <v>1131</v>
      </c>
      <c r="AD368" s="97" t="s">
        <v>1300</v>
      </c>
      <c r="AE368" s="90" t="b">
        <v>0</v>
      </c>
      <c r="AF368" s="90">
        <v>0</v>
      </c>
      <c r="AG368" s="97" t="s">
        <v>1349</v>
      </c>
      <c r="AH368" s="90" t="b">
        <v>0</v>
      </c>
      <c r="AI368" s="90" t="s">
        <v>1442</v>
      </c>
      <c r="AJ368" s="90"/>
      <c r="AK368" s="97" t="s">
        <v>1338</v>
      </c>
      <c r="AL368" s="90" t="b">
        <v>0</v>
      </c>
      <c r="AM368" s="90">
        <v>0</v>
      </c>
      <c r="AN368" s="97" t="s">
        <v>1338</v>
      </c>
      <c r="AO368" s="97" t="s">
        <v>1451</v>
      </c>
      <c r="AP368" s="90" t="b">
        <v>0</v>
      </c>
      <c r="AQ368" s="97" t="s">
        <v>1300</v>
      </c>
      <c r="AR368" s="90" t="s">
        <v>187</v>
      </c>
      <c r="AS368" s="90">
        <v>0</v>
      </c>
      <c r="AT368" s="90">
        <v>0</v>
      </c>
      <c r="AU368" s="90"/>
      <c r="AV368" s="90"/>
      <c r="AW368" s="90"/>
      <c r="AX368" s="90"/>
      <c r="AY368" s="90"/>
      <c r="AZ368" s="90"/>
      <c r="BA368" s="90"/>
      <c r="BB368" s="90"/>
      <c r="BC368">
        <v>1</v>
      </c>
      <c r="BD368" s="89" t="str">
        <f>REPLACE(INDEX(GroupVertices[Group],MATCH(Edges[[#This Row],[Vertex 1]],GroupVertices[Vertex],0)),1,1,"")</f>
        <v>1</v>
      </c>
      <c r="BE368" s="89" t="str">
        <f>REPLACE(INDEX(GroupVertices[Group],MATCH(Edges[[#This Row],[Vertex 2]],GroupVertices[Vertex],0)),1,1,"")</f>
        <v>9</v>
      </c>
      <c r="BF368" s="49">
        <v>0</v>
      </c>
      <c r="BG368" s="50">
        <v>0</v>
      </c>
      <c r="BH368" s="49">
        <v>0</v>
      </c>
      <c r="BI368" s="50">
        <v>0</v>
      </c>
      <c r="BJ368" s="49">
        <v>0</v>
      </c>
      <c r="BK368" s="50">
        <v>0</v>
      </c>
      <c r="BL368" s="49">
        <v>9</v>
      </c>
      <c r="BM368" s="50">
        <v>100</v>
      </c>
      <c r="BN368" s="49">
        <v>9</v>
      </c>
    </row>
    <row r="369" spans="1:66" ht="15">
      <c r="A369" s="65" t="s">
        <v>281</v>
      </c>
      <c r="B369" s="65" t="s">
        <v>338</v>
      </c>
      <c r="C369" s="66" t="s">
        <v>5817</v>
      </c>
      <c r="D369" s="67">
        <v>1</v>
      </c>
      <c r="E369" s="68" t="s">
        <v>132</v>
      </c>
      <c r="F369" s="69">
        <v>32</v>
      </c>
      <c r="G369" s="66" t="s">
        <v>51</v>
      </c>
      <c r="H369" s="70"/>
      <c r="I369" s="71"/>
      <c r="J369" s="71"/>
      <c r="K369" s="35" t="s">
        <v>66</v>
      </c>
      <c r="L369" s="79">
        <v>369</v>
      </c>
      <c r="M369" s="79"/>
      <c r="N369" s="73"/>
      <c r="O369" s="90" t="s">
        <v>523</v>
      </c>
      <c r="P369" s="93">
        <v>44530.85474537037</v>
      </c>
      <c r="Q369" s="90" t="s">
        <v>606</v>
      </c>
      <c r="R369" s="90"/>
      <c r="S369" s="90"/>
      <c r="T369" s="90"/>
      <c r="U369" s="90"/>
      <c r="V369" s="96" t="str">
        <f>HYPERLINK("https://pbs.twimg.com/profile_images/1076890640905134080/vdh2syxK_normal.jpg")</f>
        <v>https://pbs.twimg.com/profile_images/1076890640905134080/vdh2syxK_normal.jpg</v>
      </c>
      <c r="W369" s="93">
        <v>44530.85474537037</v>
      </c>
      <c r="X369" s="100">
        <v>44530</v>
      </c>
      <c r="Y369" s="97" t="s">
        <v>880</v>
      </c>
      <c r="Z369" s="96" t="str">
        <f>HYPERLINK("https://twitter.com/benelef999/status/1465780383451078670")</f>
        <v>https://twitter.com/benelef999/status/1465780383451078670</v>
      </c>
      <c r="AA369" s="90"/>
      <c r="AB369" s="90"/>
      <c r="AC369" s="97" t="s">
        <v>1132</v>
      </c>
      <c r="AD369" s="97" t="s">
        <v>1301</v>
      </c>
      <c r="AE369" s="90" t="b">
        <v>0</v>
      </c>
      <c r="AF369" s="90">
        <v>63</v>
      </c>
      <c r="AG369" s="97" t="s">
        <v>1361</v>
      </c>
      <c r="AH369" s="90" t="b">
        <v>0</v>
      </c>
      <c r="AI369" s="90" t="s">
        <v>1442</v>
      </c>
      <c r="AJ369" s="90"/>
      <c r="AK369" s="97" t="s">
        <v>1338</v>
      </c>
      <c r="AL369" s="90" t="b">
        <v>0</v>
      </c>
      <c r="AM369" s="90">
        <v>6</v>
      </c>
      <c r="AN369" s="97" t="s">
        <v>1338</v>
      </c>
      <c r="AO369" s="97" t="s">
        <v>1451</v>
      </c>
      <c r="AP369" s="90" t="b">
        <v>0</v>
      </c>
      <c r="AQ369" s="97" t="s">
        <v>1301</v>
      </c>
      <c r="AR369" s="90" t="s">
        <v>187</v>
      </c>
      <c r="AS369" s="90">
        <v>0</v>
      </c>
      <c r="AT369" s="90">
        <v>0</v>
      </c>
      <c r="AU369" s="90"/>
      <c r="AV369" s="90"/>
      <c r="AW369" s="90"/>
      <c r="AX369" s="90"/>
      <c r="AY369" s="90"/>
      <c r="AZ369" s="90"/>
      <c r="BA369" s="90"/>
      <c r="BB369" s="90"/>
      <c r="BC369">
        <v>1</v>
      </c>
      <c r="BD369" s="89" t="str">
        <f>REPLACE(INDEX(GroupVertices[Group],MATCH(Edges[[#This Row],[Vertex 1]],GroupVertices[Vertex],0)),1,1,"")</f>
        <v>1</v>
      </c>
      <c r="BE369" s="89" t="str">
        <f>REPLACE(INDEX(GroupVertices[Group],MATCH(Edges[[#This Row],[Vertex 2]],GroupVertices[Vertex],0)),1,1,"")</f>
        <v>1</v>
      </c>
      <c r="BF369" s="49">
        <v>0</v>
      </c>
      <c r="BG369" s="50">
        <v>0</v>
      </c>
      <c r="BH369" s="49">
        <v>0</v>
      </c>
      <c r="BI369" s="50">
        <v>0</v>
      </c>
      <c r="BJ369" s="49">
        <v>0</v>
      </c>
      <c r="BK369" s="50">
        <v>0</v>
      </c>
      <c r="BL369" s="49">
        <v>28</v>
      </c>
      <c r="BM369" s="50">
        <v>100</v>
      </c>
      <c r="BN369" s="49">
        <v>28</v>
      </c>
    </row>
    <row r="370" spans="1:66" ht="15">
      <c r="A370" s="65" t="s">
        <v>295</v>
      </c>
      <c r="B370" s="65" t="s">
        <v>281</v>
      </c>
      <c r="C370" s="66" t="s">
        <v>5817</v>
      </c>
      <c r="D370" s="67">
        <v>1</v>
      </c>
      <c r="E370" s="68" t="s">
        <v>132</v>
      </c>
      <c r="F370" s="69">
        <v>32</v>
      </c>
      <c r="G370" s="66" t="s">
        <v>51</v>
      </c>
      <c r="H370" s="70"/>
      <c r="I370" s="71"/>
      <c r="J370" s="71"/>
      <c r="K370" s="35" t="s">
        <v>65</v>
      </c>
      <c r="L370" s="79">
        <v>370</v>
      </c>
      <c r="M370" s="79"/>
      <c r="N370" s="73"/>
      <c r="O370" s="90" t="s">
        <v>522</v>
      </c>
      <c r="P370" s="93">
        <v>44531.20532407407</v>
      </c>
      <c r="Q370" s="90" t="s">
        <v>606</v>
      </c>
      <c r="R370" s="90"/>
      <c r="S370" s="90"/>
      <c r="T370" s="90"/>
      <c r="U370" s="90"/>
      <c r="V370" s="96" t="str">
        <f>HYPERLINK("https://pbs.twimg.com/profile_images/1460949338457350145/3L-YQZgw_normal.jpg")</f>
        <v>https://pbs.twimg.com/profile_images/1460949338457350145/3L-YQZgw_normal.jpg</v>
      </c>
      <c r="W370" s="93">
        <v>44531.20532407407</v>
      </c>
      <c r="X370" s="100">
        <v>44531</v>
      </c>
      <c r="Y370" s="97" t="s">
        <v>881</v>
      </c>
      <c r="Z370" s="96" t="str">
        <f>HYPERLINK("https://twitter.com/madetojastig/status/1465907426188800003")</f>
        <v>https://twitter.com/madetojastig/status/1465907426188800003</v>
      </c>
      <c r="AA370" s="90"/>
      <c r="AB370" s="90"/>
      <c r="AC370" s="97" t="s">
        <v>1133</v>
      </c>
      <c r="AD370" s="90"/>
      <c r="AE370" s="90" t="b">
        <v>0</v>
      </c>
      <c r="AF370" s="90">
        <v>0</v>
      </c>
      <c r="AG370" s="97" t="s">
        <v>1338</v>
      </c>
      <c r="AH370" s="90" t="b">
        <v>0</v>
      </c>
      <c r="AI370" s="90" t="s">
        <v>1442</v>
      </c>
      <c r="AJ370" s="90"/>
      <c r="AK370" s="97" t="s">
        <v>1338</v>
      </c>
      <c r="AL370" s="90" t="b">
        <v>0</v>
      </c>
      <c r="AM370" s="90">
        <v>6</v>
      </c>
      <c r="AN370" s="97" t="s">
        <v>1132</v>
      </c>
      <c r="AO370" s="97" t="s">
        <v>1450</v>
      </c>
      <c r="AP370" s="90" t="b">
        <v>0</v>
      </c>
      <c r="AQ370" s="97" t="s">
        <v>1132</v>
      </c>
      <c r="AR370" s="90" t="s">
        <v>187</v>
      </c>
      <c r="AS370" s="90">
        <v>0</v>
      </c>
      <c r="AT370" s="90">
        <v>0</v>
      </c>
      <c r="AU370" s="90"/>
      <c r="AV370" s="90"/>
      <c r="AW370" s="90"/>
      <c r="AX370" s="90"/>
      <c r="AY370" s="90"/>
      <c r="AZ370" s="90"/>
      <c r="BA370" s="90"/>
      <c r="BB370" s="90"/>
      <c r="BC370">
        <v>1</v>
      </c>
      <c r="BD370" s="89" t="str">
        <f>REPLACE(INDEX(GroupVertices[Group],MATCH(Edges[[#This Row],[Vertex 1]],GroupVertices[Vertex],0)),1,1,"")</f>
        <v>1</v>
      </c>
      <c r="BE370" s="89" t="str">
        <f>REPLACE(INDEX(GroupVertices[Group],MATCH(Edges[[#This Row],[Vertex 2]],GroupVertices[Vertex],0)),1,1,"")</f>
        <v>1</v>
      </c>
      <c r="BF370" s="49"/>
      <c r="BG370" s="50"/>
      <c r="BH370" s="49"/>
      <c r="BI370" s="50"/>
      <c r="BJ370" s="49"/>
      <c r="BK370" s="50"/>
      <c r="BL370" s="49"/>
      <c r="BM370" s="50"/>
      <c r="BN370" s="49"/>
    </row>
    <row r="371" spans="1:66" ht="15">
      <c r="A371" s="65" t="s">
        <v>338</v>
      </c>
      <c r="B371" s="65" t="s">
        <v>281</v>
      </c>
      <c r="C371" s="66" t="s">
        <v>5817</v>
      </c>
      <c r="D371" s="67">
        <v>1</v>
      </c>
      <c r="E371" s="68" t="s">
        <v>132</v>
      </c>
      <c r="F371" s="69">
        <v>32</v>
      </c>
      <c r="G371" s="66" t="s">
        <v>51</v>
      </c>
      <c r="H371" s="70"/>
      <c r="I371" s="71"/>
      <c r="J371" s="71"/>
      <c r="K371" s="35" t="s">
        <v>66</v>
      </c>
      <c r="L371" s="79">
        <v>371</v>
      </c>
      <c r="M371" s="79"/>
      <c r="N371" s="73"/>
      <c r="O371" s="90" t="s">
        <v>522</v>
      </c>
      <c r="P371" s="93">
        <v>44531.18716435185</v>
      </c>
      <c r="Q371" s="90" t="s">
        <v>606</v>
      </c>
      <c r="R371" s="90"/>
      <c r="S371" s="90"/>
      <c r="T371" s="90"/>
      <c r="U371" s="90"/>
      <c r="V371" s="96" t="str">
        <f>HYPERLINK("https://pbs.twimg.com/profile_images/1376746837810511872/72eWhpfP_normal.jpg")</f>
        <v>https://pbs.twimg.com/profile_images/1376746837810511872/72eWhpfP_normal.jpg</v>
      </c>
      <c r="W371" s="93">
        <v>44531.18716435185</v>
      </c>
      <c r="X371" s="100">
        <v>44531</v>
      </c>
      <c r="Y371" s="97" t="s">
        <v>882</v>
      </c>
      <c r="Z371" s="96" t="str">
        <f>HYPERLINK("https://twitter.com/korpinenlaura/status/1465900844369559552")</f>
        <v>https://twitter.com/korpinenlaura/status/1465900844369559552</v>
      </c>
      <c r="AA371" s="90"/>
      <c r="AB371" s="90"/>
      <c r="AC371" s="97" t="s">
        <v>1134</v>
      </c>
      <c r="AD371" s="90"/>
      <c r="AE371" s="90" t="b">
        <v>0</v>
      </c>
      <c r="AF371" s="90">
        <v>0</v>
      </c>
      <c r="AG371" s="97" t="s">
        <v>1338</v>
      </c>
      <c r="AH371" s="90" t="b">
        <v>0</v>
      </c>
      <c r="AI371" s="90" t="s">
        <v>1442</v>
      </c>
      <c r="AJ371" s="90"/>
      <c r="AK371" s="97" t="s">
        <v>1338</v>
      </c>
      <c r="AL371" s="90" t="b">
        <v>0</v>
      </c>
      <c r="AM371" s="90">
        <v>6</v>
      </c>
      <c r="AN371" s="97" t="s">
        <v>1132</v>
      </c>
      <c r="AO371" s="97" t="s">
        <v>1452</v>
      </c>
      <c r="AP371" s="90" t="b">
        <v>0</v>
      </c>
      <c r="AQ371" s="97" t="s">
        <v>1132</v>
      </c>
      <c r="AR371" s="90" t="s">
        <v>187</v>
      </c>
      <c r="AS371" s="90">
        <v>0</v>
      </c>
      <c r="AT371" s="90">
        <v>0</v>
      </c>
      <c r="AU371" s="90"/>
      <c r="AV371" s="90"/>
      <c r="AW371" s="90"/>
      <c r="AX371" s="90"/>
      <c r="AY371" s="90"/>
      <c r="AZ371" s="90"/>
      <c r="BA371" s="90"/>
      <c r="BB371" s="90"/>
      <c r="BC371">
        <v>1</v>
      </c>
      <c r="BD371" s="89" t="str">
        <f>REPLACE(INDEX(GroupVertices[Group],MATCH(Edges[[#This Row],[Vertex 1]],GroupVertices[Vertex],0)),1,1,"")</f>
        <v>1</v>
      </c>
      <c r="BE371" s="89" t="str">
        <f>REPLACE(INDEX(GroupVertices[Group],MATCH(Edges[[#This Row],[Vertex 2]],GroupVertices[Vertex],0)),1,1,"")</f>
        <v>1</v>
      </c>
      <c r="BF371" s="49">
        <v>0</v>
      </c>
      <c r="BG371" s="50">
        <v>0</v>
      </c>
      <c r="BH371" s="49">
        <v>0</v>
      </c>
      <c r="BI371" s="50">
        <v>0</v>
      </c>
      <c r="BJ371" s="49">
        <v>0</v>
      </c>
      <c r="BK371" s="50">
        <v>0</v>
      </c>
      <c r="BL371" s="49">
        <v>28</v>
      </c>
      <c r="BM371" s="50">
        <v>100</v>
      </c>
      <c r="BN371" s="49">
        <v>28</v>
      </c>
    </row>
    <row r="372" spans="1:66" ht="15">
      <c r="A372" s="65" t="s">
        <v>295</v>
      </c>
      <c r="B372" s="65" t="s">
        <v>303</v>
      </c>
      <c r="C372" s="66" t="s">
        <v>5817</v>
      </c>
      <c r="D372" s="67">
        <v>1</v>
      </c>
      <c r="E372" s="68" t="s">
        <v>132</v>
      </c>
      <c r="F372" s="69">
        <v>32</v>
      </c>
      <c r="G372" s="66" t="s">
        <v>51</v>
      </c>
      <c r="H372" s="70"/>
      <c r="I372" s="71"/>
      <c r="J372" s="71"/>
      <c r="K372" s="35" t="s">
        <v>65</v>
      </c>
      <c r="L372" s="79">
        <v>372</v>
      </c>
      <c r="M372" s="79"/>
      <c r="N372" s="73"/>
      <c r="O372" s="90" t="s">
        <v>522</v>
      </c>
      <c r="P372" s="93">
        <v>44531.19868055556</v>
      </c>
      <c r="Q372" s="90" t="s">
        <v>598</v>
      </c>
      <c r="R372" s="90"/>
      <c r="S372" s="90"/>
      <c r="T372" s="90"/>
      <c r="U372" s="90"/>
      <c r="V372" s="96" t="str">
        <f>HYPERLINK("https://pbs.twimg.com/profile_images/1460949338457350145/3L-YQZgw_normal.jpg")</f>
        <v>https://pbs.twimg.com/profile_images/1460949338457350145/3L-YQZgw_normal.jpg</v>
      </c>
      <c r="W372" s="93">
        <v>44531.19868055556</v>
      </c>
      <c r="X372" s="100">
        <v>44531</v>
      </c>
      <c r="Y372" s="97" t="s">
        <v>883</v>
      </c>
      <c r="Z372" s="96" t="str">
        <f>HYPERLINK("https://twitter.com/madetojastig/status/1465905021191700482")</f>
        <v>https://twitter.com/madetojastig/status/1465905021191700482</v>
      </c>
      <c r="AA372" s="90"/>
      <c r="AB372" s="90"/>
      <c r="AC372" s="97" t="s">
        <v>1135</v>
      </c>
      <c r="AD372" s="90"/>
      <c r="AE372" s="90" t="b">
        <v>0</v>
      </c>
      <c r="AF372" s="90">
        <v>0</v>
      </c>
      <c r="AG372" s="97" t="s">
        <v>1338</v>
      </c>
      <c r="AH372" s="90" t="b">
        <v>0</v>
      </c>
      <c r="AI372" s="90" t="s">
        <v>1442</v>
      </c>
      <c r="AJ372" s="90"/>
      <c r="AK372" s="97" t="s">
        <v>1338</v>
      </c>
      <c r="AL372" s="90" t="b">
        <v>0</v>
      </c>
      <c r="AM372" s="90">
        <v>5</v>
      </c>
      <c r="AN372" s="97" t="s">
        <v>1136</v>
      </c>
      <c r="AO372" s="97" t="s">
        <v>1450</v>
      </c>
      <c r="AP372" s="90" t="b">
        <v>0</v>
      </c>
      <c r="AQ372" s="97" t="s">
        <v>1136</v>
      </c>
      <c r="AR372" s="90" t="s">
        <v>187</v>
      </c>
      <c r="AS372" s="90">
        <v>0</v>
      </c>
      <c r="AT372" s="90">
        <v>0</v>
      </c>
      <c r="AU372" s="90"/>
      <c r="AV372" s="90"/>
      <c r="AW372" s="90"/>
      <c r="AX372" s="90"/>
      <c r="AY372" s="90"/>
      <c r="AZ372" s="90"/>
      <c r="BA372" s="90"/>
      <c r="BB372" s="90"/>
      <c r="BC372">
        <v>1</v>
      </c>
      <c r="BD372" s="89" t="str">
        <f>REPLACE(INDEX(GroupVertices[Group],MATCH(Edges[[#This Row],[Vertex 1]],GroupVertices[Vertex],0)),1,1,"")</f>
        <v>1</v>
      </c>
      <c r="BE372" s="89" t="str">
        <f>REPLACE(INDEX(GroupVertices[Group],MATCH(Edges[[#This Row],[Vertex 2]],GroupVertices[Vertex],0)),1,1,"")</f>
        <v>1</v>
      </c>
      <c r="BF372" s="49"/>
      <c r="BG372" s="50"/>
      <c r="BH372" s="49"/>
      <c r="BI372" s="50"/>
      <c r="BJ372" s="49"/>
      <c r="BK372" s="50"/>
      <c r="BL372" s="49"/>
      <c r="BM372" s="50"/>
      <c r="BN372" s="49"/>
    </row>
    <row r="373" spans="1:66" ht="15">
      <c r="A373" s="65" t="s">
        <v>303</v>
      </c>
      <c r="B373" s="65" t="s">
        <v>338</v>
      </c>
      <c r="C373" s="66" t="s">
        <v>5817</v>
      </c>
      <c r="D373" s="67">
        <v>1</v>
      </c>
      <c r="E373" s="68" t="s">
        <v>132</v>
      </c>
      <c r="F373" s="69">
        <v>32</v>
      </c>
      <c r="G373" s="66" t="s">
        <v>51</v>
      </c>
      <c r="H373" s="70"/>
      <c r="I373" s="71"/>
      <c r="J373" s="71"/>
      <c r="K373" s="35" t="s">
        <v>66</v>
      </c>
      <c r="L373" s="79">
        <v>373</v>
      </c>
      <c r="M373" s="79"/>
      <c r="N373" s="73"/>
      <c r="O373" s="90" t="s">
        <v>523</v>
      </c>
      <c r="P373" s="93">
        <v>44531.19237268518</v>
      </c>
      <c r="Q373" s="90" t="s">
        <v>598</v>
      </c>
      <c r="R373" s="90"/>
      <c r="S373" s="90"/>
      <c r="T373" s="90"/>
      <c r="U373" s="90"/>
      <c r="V373" s="96" t="str">
        <f>HYPERLINK("https://pbs.twimg.com/profile_images/1206848632374407169/0UKXlQr4_normal.jpg")</f>
        <v>https://pbs.twimg.com/profile_images/1206848632374407169/0UKXlQr4_normal.jpg</v>
      </c>
      <c r="W373" s="93">
        <v>44531.19237268518</v>
      </c>
      <c r="X373" s="100">
        <v>44531</v>
      </c>
      <c r="Y373" s="97" t="s">
        <v>884</v>
      </c>
      <c r="Z373" s="96" t="str">
        <f>HYPERLINK("https://twitter.com/matti_lampi/status/1465902735346352129")</f>
        <v>https://twitter.com/matti_lampi/status/1465902735346352129</v>
      </c>
      <c r="AA373" s="90"/>
      <c r="AB373" s="90"/>
      <c r="AC373" s="97" t="s">
        <v>1136</v>
      </c>
      <c r="AD373" s="97" t="s">
        <v>1301</v>
      </c>
      <c r="AE373" s="90" t="b">
        <v>0</v>
      </c>
      <c r="AF373" s="90">
        <v>69</v>
      </c>
      <c r="AG373" s="97" t="s">
        <v>1361</v>
      </c>
      <c r="AH373" s="90" t="b">
        <v>0</v>
      </c>
      <c r="AI373" s="90" t="s">
        <v>1442</v>
      </c>
      <c r="AJ373" s="90"/>
      <c r="AK373" s="97" t="s">
        <v>1338</v>
      </c>
      <c r="AL373" s="90" t="b">
        <v>0</v>
      </c>
      <c r="AM373" s="90">
        <v>5</v>
      </c>
      <c r="AN373" s="97" t="s">
        <v>1338</v>
      </c>
      <c r="AO373" s="97" t="s">
        <v>1452</v>
      </c>
      <c r="AP373" s="90" t="b">
        <v>0</v>
      </c>
      <c r="AQ373" s="97" t="s">
        <v>1301</v>
      </c>
      <c r="AR373" s="90" t="s">
        <v>187</v>
      </c>
      <c r="AS373" s="90">
        <v>0</v>
      </c>
      <c r="AT373" s="90">
        <v>0</v>
      </c>
      <c r="AU373" s="90"/>
      <c r="AV373" s="90"/>
      <c r="AW373" s="90"/>
      <c r="AX373" s="90"/>
      <c r="AY373" s="90"/>
      <c r="AZ373" s="90"/>
      <c r="BA373" s="90"/>
      <c r="BB373" s="90"/>
      <c r="BC373">
        <v>1</v>
      </c>
      <c r="BD373" s="89" t="str">
        <f>REPLACE(INDEX(GroupVertices[Group],MATCH(Edges[[#This Row],[Vertex 1]],GroupVertices[Vertex],0)),1,1,"")</f>
        <v>1</v>
      </c>
      <c r="BE373" s="89" t="str">
        <f>REPLACE(INDEX(GroupVertices[Group],MATCH(Edges[[#This Row],[Vertex 2]],GroupVertices[Vertex],0)),1,1,"")</f>
        <v>1</v>
      </c>
      <c r="BF373" s="49">
        <v>0</v>
      </c>
      <c r="BG373" s="50">
        <v>0</v>
      </c>
      <c r="BH373" s="49">
        <v>0</v>
      </c>
      <c r="BI373" s="50">
        <v>0</v>
      </c>
      <c r="BJ373" s="49">
        <v>0</v>
      </c>
      <c r="BK373" s="50">
        <v>0</v>
      </c>
      <c r="BL373" s="49">
        <v>24</v>
      </c>
      <c r="BM373" s="50">
        <v>100</v>
      </c>
      <c r="BN373" s="49">
        <v>24</v>
      </c>
    </row>
    <row r="374" spans="1:66" ht="15">
      <c r="A374" s="65" t="s">
        <v>303</v>
      </c>
      <c r="B374" s="65" t="s">
        <v>303</v>
      </c>
      <c r="C374" s="66" t="s">
        <v>5817</v>
      </c>
      <c r="D374" s="67">
        <v>1</v>
      </c>
      <c r="E374" s="68" t="s">
        <v>132</v>
      </c>
      <c r="F374" s="69">
        <v>32</v>
      </c>
      <c r="G374" s="66" t="s">
        <v>51</v>
      </c>
      <c r="H374" s="70"/>
      <c r="I374" s="71"/>
      <c r="J374" s="71"/>
      <c r="K374" s="35" t="s">
        <v>65</v>
      </c>
      <c r="L374" s="79">
        <v>374</v>
      </c>
      <c r="M374" s="79"/>
      <c r="N374" s="73"/>
      <c r="O374" s="90" t="s">
        <v>187</v>
      </c>
      <c r="P374" s="93">
        <v>44531.19262731481</v>
      </c>
      <c r="Q374" s="90" t="s">
        <v>643</v>
      </c>
      <c r="R374" s="96" t="str">
        <f>HYPERLINK("https://twitter.com/KorpinenLaura/status/1465773688918364174")</f>
        <v>https://twitter.com/KorpinenLaura/status/1465773688918364174</v>
      </c>
      <c r="S374" s="90" t="s">
        <v>693</v>
      </c>
      <c r="T374" s="90"/>
      <c r="U374" s="90"/>
      <c r="V374" s="96" t="str">
        <f>HYPERLINK("https://pbs.twimg.com/profile_images/1206848632374407169/0UKXlQr4_normal.jpg")</f>
        <v>https://pbs.twimg.com/profile_images/1206848632374407169/0UKXlQr4_normal.jpg</v>
      </c>
      <c r="W374" s="93">
        <v>44531.19262731481</v>
      </c>
      <c r="X374" s="100">
        <v>44531</v>
      </c>
      <c r="Y374" s="97" t="s">
        <v>885</v>
      </c>
      <c r="Z374" s="96" t="str">
        <f>HYPERLINK("https://twitter.com/matti_lampi/status/1465902827092512768")</f>
        <v>https://twitter.com/matti_lampi/status/1465902827092512768</v>
      </c>
      <c r="AA374" s="90"/>
      <c r="AB374" s="90"/>
      <c r="AC374" s="97" t="s">
        <v>1137</v>
      </c>
      <c r="AD374" s="90"/>
      <c r="AE374" s="90" t="b">
        <v>0</v>
      </c>
      <c r="AF374" s="90">
        <v>1</v>
      </c>
      <c r="AG374" s="97" t="s">
        <v>1338</v>
      </c>
      <c r="AH374" s="90" t="b">
        <v>1</v>
      </c>
      <c r="AI374" s="90" t="s">
        <v>1442</v>
      </c>
      <c r="AJ374" s="90"/>
      <c r="AK374" s="97" t="s">
        <v>1301</v>
      </c>
      <c r="AL374" s="90" t="b">
        <v>0</v>
      </c>
      <c r="AM374" s="90">
        <v>0</v>
      </c>
      <c r="AN374" s="97" t="s">
        <v>1338</v>
      </c>
      <c r="AO374" s="97" t="s">
        <v>1452</v>
      </c>
      <c r="AP374" s="90" t="b">
        <v>0</v>
      </c>
      <c r="AQ374" s="97" t="s">
        <v>1137</v>
      </c>
      <c r="AR374" s="90" t="s">
        <v>187</v>
      </c>
      <c r="AS374" s="90">
        <v>0</v>
      </c>
      <c r="AT374" s="90">
        <v>0</v>
      </c>
      <c r="AU374" s="90"/>
      <c r="AV374" s="90"/>
      <c r="AW374" s="90"/>
      <c r="AX374" s="90"/>
      <c r="AY374" s="90"/>
      <c r="AZ374" s="90"/>
      <c r="BA374" s="90"/>
      <c r="BB374" s="90"/>
      <c r="BC374">
        <v>1</v>
      </c>
      <c r="BD374" s="89" t="str">
        <f>REPLACE(INDEX(GroupVertices[Group],MATCH(Edges[[#This Row],[Vertex 1]],GroupVertices[Vertex],0)),1,1,"")</f>
        <v>1</v>
      </c>
      <c r="BE374" s="89" t="str">
        <f>REPLACE(INDEX(GroupVertices[Group],MATCH(Edges[[#This Row],[Vertex 2]],GroupVertices[Vertex],0)),1,1,"")</f>
        <v>1</v>
      </c>
      <c r="BF374" s="49">
        <v>0</v>
      </c>
      <c r="BG374" s="50">
        <v>0</v>
      </c>
      <c r="BH374" s="49">
        <v>0</v>
      </c>
      <c r="BI374" s="50">
        <v>0</v>
      </c>
      <c r="BJ374" s="49">
        <v>0</v>
      </c>
      <c r="BK374" s="50">
        <v>0</v>
      </c>
      <c r="BL374" s="49">
        <v>16</v>
      </c>
      <c r="BM374" s="50">
        <v>100</v>
      </c>
      <c r="BN374" s="49">
        <v>16</v>
      </c>
    </row>
    <row r="375" spans="1:66" ht="15">
      <c r="A375" s="65" t="s">
        <v>303</v>
      </c>
      <c r="B375" s="65" t="s">
        <v>338</v>
      </c>
      <c r="C375" s="66" t="s">
        <v>5817</v>
      </c>
      <c r="D375" s="67">
        <v>1</v>
      </c>
      <c r="E375" s="68" t="s">
        <v>132</v>
      </c>
      <c r="F375" s="69">
        <v>32</v>
      </c>
      <c r="G375" s="66" t="s">
        <v>51</v>
      </c>
      <c r="H375" s="70"/>
      <c r="I375" s="71"/>
      <c r="J375" s="71"/>
      <c r="K375" s="35" t="s">
        <v>66</v>
      </c>
      <c r="L375" s="79">
        <v>375</v>
      </c>
      <c r="M375" s="79"/>
      <c r="N375" s="73"/>
      <c r="O375" s="90" t="s">
        <v>524</v>
      </c>
      <c r="P375" s="93">
        <v>44531.303148148145</v>
      </c>
      <c r="Q375" s="90" t="s">
        <v>611</v>
      </c>
      <c r="R375" s="90"/>
      <c r="S375" s="90"/>
      <c r="T375" s="90"/>
      <c r="U375" s="90"/>
      <c r="V375" s="96" t="str">
        <f>HYPERLINK("https://pbs.twimg.com/profile_images/1206848632374407169/0UKXlQr4_normal.jpg")</f>
        <v>https://pbs.twimg.com/profile_images/1206848632374407169/0UKXlQr4_normal.jpg</v>
      </c>
      <c r="W375" s="93">
        <v>44531.303148148145</v>
      </c>
      <c r="X375" s="100">
        <v>44531</v>
      </c>
      <c r="Y375" s="97" t="s">
        <v>835</v>
      </c>
      <c r="Z375" s="96" t="str">
        <f>HYPERLINK("https://twitter.com/matti_lampi/status/1465942875649323008")</f>
        <v>https://twitter.com/matti_lampi/status/1465942875649323008</v>
      </c>
      <c r="AA375" s="90"/>
      <c r="AB375" s="90"/>
      <c r="AC375" s="97" t="s">
        <v>1087</v>
      </c>
      <c r="AD375" s="97" t="s">
        <v>1086</v>
      </c>
      <c r="AE375" s="90" t="b">
        <v>0</v>
      </c>
      <c r="AF375" s="90">
        <v>4</v>
      </c>
      <c r="AG375" s="97" t="s">
        <v>1355</v>
      </c>
      <c r="AH375" s="90" t="b">
        <v>0</v>
      </c>
      <c r="AI375" s="90" t="s">
        <v>1442</v>
      </c>
      <c r="AJ375" s="90"/>
      <c r="AK375" s="97" t="s">
        <v>1338</v>
      </c>
      <c r="AL375" s="90" t="b">
        <v>0</v>
      </c>
      <c r="AM375" s="90">
        <v>0</v>
      </c>
      <c r="AN375" s="97" t="s">
        <v>1338</v>
      </c>
      <c r="AO375" s="97" t="s">
        <v>1452</v>
      </c>
      <c r="AP375" s="90" t="b">
        <v>0</v>
      </c>
      <c r="AQ375" s="97" t="s">
        <v>1086</v>
      </c>
      <c r="AR375" s="90" t="s">
        <v>187</v>
      </c>
      <c r="AS375" s="90">
        <v>0</v>
      </c>
      <c r="AT375" s="90">
        <v>0</v>
      </c>
      <c r="AU375" s="90"/>
      <c r="AV375" s="90"/>
      <c r="AW375" s="90"/>
      <c r="AX375" s="90"/>
      <c r="AY375" s="90"/>
      <c r="AZ375" s="90"/>
      <c r="BA375" s="90"/>
      <c r="BB375" s="90"/>
      <c r="BC375">
        <v>1</v>
      </c>
      <c r="BD375" s="89" t="str">
        <f>REPLACE(INDEX(GroupVertices[Group],MATCH(Edges[[#This Row],[Vertex 1]],GroupVertices[Vertex],0)),1,1,"")</f>
        <v>1</v>
      </c>
      <c r="BE375" s="89" t="str">
        <f>REPLACE(INDEX(GroupVertices[Group],MATCH(Edges[[#This Row],[Vertex 2]],GroupVertices[Vertex],0)),1,1,"")</f>
        <v>1</v>
      </c>
      <c r="BF375" s="49">
        <v>0</v>
      </c>
      <c r="BG375" s="50">
        <v>0</v>
      </c>
      <c r="BH375" s="49">
        <v>0</v>
      </c>
      <c r="BI375" s="50">
        <v>0</v>
      </c>
      <c r="BJ375" s="49">
        <v>0</v>
      </c>
      <c r="BK375" s="50">
        <v>0</v>
      </c>
      <c r="BL375" s="49">
        <v>34</v>
      </c>
      <c r="BM375" s="50">
        <v>100</v>
      </c>
      <c r="BN375" s="49">
        <v>34</v>
      </c>
    </row>
    <row r="376" spans="1:66" ht="15">
      <c r="A376" s="65" t="s">
        <v>338</v>
      </c>
      <c r="B376" s="65" t="s">
        <v>303</v>
      </c>
      <c r="C376" s="66" t="s">
        <v>5817</v>
      </c>
      <c r="D376" s="67">
        <v>1</v>
      </c>
      <c r="E376" s="68" t="s">
        <v>132</v>
      </c>
      <c r="F376" s="69">
        <v>32</v>
      </c>
      <c r="G376" s="66" t="s">
        <v>51</v>
      </c>
      <c r="H376" s="70"/>
      <c r="I376" s="71"/>
      <c r="J376" s="71"/>
      <c r="K376" s="35" t="s">
        <v>66</v>
      </c>
      <c r="L376" s="79">
        <v>376</v>
      </c>
      <c r="M376" s="79"/>
      <c r="N376" s="73"/>
      <c r="O376" s="90" t="s">
        <v>522</v>
      </c>
      <c r="P376" s="93">
        <v>44531.1931712963</v>
      </c>
      <c r="Q376" s="90" t="s">
        <v>598</v>
      </c>
      <c r="R376" s="90"/>
      <c r="S376" s="90"/>
      <c r="T376" s="90"/>
      <c r="U376" s="90"/>
      <c r="V376" s="96" t="str">
        <f>HYPERLINK("https://pbs.twimg.com/profile_images/1376746837810511872/72eWhpfP_normal.jpg")</f>
        <v>https://pbs.twimg.com/profile_images/1376746837810511872/72eWhpfP_normal.jpg</v>
      </c>
      <c r="W376" s="93">
        <v>44531.1931712963</v>
      </c>
      <c r="X376" s="100">
        <v>44531</v>
      </c>
      <c r="Y376" s="97" t="s">
        <v>886</v>
      </c>
      <c r="Z376" s="96" t="str">
        <f>HYPERLINK("https://twitter.com/korpinenlaura/status/1465903022031224833")</f>
        <v>https://twitter.com/korpinenlaura/status/1465903022031224833</v>
      </c>
      <c r="AA376" s="90"/>
      <c r="AB376" s="90"/>
      <c r="AC376" s="97" t="s">
        <v>1138</v>
      </c>
      <c r="AD376" s="90"/>
      <c r="AE376" s="90" t="b">
        <v>0</v>
      </c>
      <c r="AF376" s="90">
        <v>0</v>
      </c>
      <c r="AG376" s="97" t="s">
        <v>1338</v>
      </c>
      <c r="AH376" s="90" t="b">
        <v>0</v>
      </c>
      <c r="AI376" s="90" t="s">
        <v>1442</v>
      </c>
      <c r="AJ376" s="90"/>
      <c r="AK376" s="97" t="s">
        <v>1338</v>
      </c>
      <c r="AL376" s="90" t="b">
        <v>0</v>
      </c>
      <c r="AM376" s="90">
        <v>5</v>
      </c>
      <c r="AN376" s="97" t="s">
        <v>1136</v>
      </c>
      <c r="AO376" s="97" t="s">
        <v>1452</v>
      </c>
      <c r="AP376" s="90" t="b">
        <v>0</v>
      </c>
      <c r="AQ376" s="97" t="s">
        <v>1136</v>
      </c>
      <c r="AR376" s="90" t="s">
        <v>187</v>
      </c>
      <c r="AS376" s="90">
        <v>0</v>
      </c>
      <c r="AT376" s="90">
        <v>0</v>
      </c>
      <c r="AU376" s="90"/>
      <c r="AV376" s="90"/>
      <c r="AW376" s="90"/>
      <c r="AX376" s="90"/>
      <c r="AY376" s="90"/>
      <c r="AZ376" s="90"/>
      <c r="BA376" s="90"/>
      <c r="BB376" s="90"/>
      <c r="BC376">
        <v>1</v>
      </c>
      <c r="BD376" s="89" t="str">
        <f>REPLACE(INDEX(GroupVertices[Group],MATCH(Edges[[#This Row],[Vertex 1]],GroupVertices[Vertex],0)),1,1,"")</f>
        <v>1</v>
      </c>
      <c r="BE376" s="89" t="str">
        <f>REPLACE(INDEX(GroupVertices[Group],MATCH(Edges[[#This Row],[Vertex 2]],GroupVertices[Vertex],0)),1,1,"")</f>
        <v>1</v>
      </c>
      <c r="BF376" s="49">
        <v>0</v>
      </c>
      <c r="BG376" s="50">
        <v>0</v>
      </c>
      <c r="BH376" s="49">
        <v>0</v>
      </c>
      <c r="BI376" s="50">
        <v>0</v>
      </c>
      <c r="BJ376" s="49">
        <v>0</v>
      </c>
      <c r="BK376" s="50">
        <v>0</v>
      </c>
      <c r="BL376" s="49">
        <v>24</v>
      </c>
      <c r="BM376" s="50">
        <v>100</v>
      </c>
      <c r="BN376" s="49">
        <v>24</v>
      </c>
    </row>
    <row r="377" spans="1:66" ht="15">
      <c r="A377" s="65" t="s">
        <v>295</v>
      </c>
      <c r="B377" s="65" t="s">
        <v>338</v>
      </c>
      <c r="C377" s="66" t="s">
        <v>5818</v>
      </c>
      <c r="D377" s="67">
        <v>1</v>
      </c>
      <c r="E377" s="68" t="s">
        <v>132</v>
      </c>
      <c r="F377" s="69">
        <v>32</v>
      </c>
      <c r="G377" s="66" t="s">
        <v>51</v>
      </c>
      <c r="H377" s="70"/>
      <c r="I377" s="71"/>
      <c r="J377" s="71"/>
      <c r="K377" s="35" t="s">
        <v>65</v>
      </c>
      <c r="L377" s="79">
        <v>377</v>
      </c>
      <c r="M377" s="79"/>
      <c r="N377" s="73"/>
      <c r="O377" s="90" t="s">
        <v>523</v>
      </c>
      <c r="P377" s="93">
        <v>44531.19868055556</v>
      </c>
      <c r="Q377" s="90" t="s">
        <v>598</v>
      </c>
      <c r="R377" s="90"/>
      <c r="S377" s="90"/>
      <c r="T377" s="90"/>
      <c r="U377" s="90"/>
      <c r="V377" s="96" t="str">
        <f>HYPERLINK("https://pbs.twimg.com/profile_images/1460949338457350145/3L-YQZgw_normal.jpg")</f>
        <v>https://pbs.twimg.com/profile_images/1460949338457350145/3L-YQZgw_normal.jpg</v>
      </c>
      <c r="W377" s="93">
        <v>44531.19868055556</v>
      </c>
      <c r="X377" s="100">
        <v>44531</v>
      </c>
      <c r="Y377" s="97" t="s">
        <v>883</v>
      </c>
      <c r="Z377" s="96" t="str">
        <f>HYPERLINK("https://twitter.com/madetojastig/status/1465905021191700482")</f>
        <v>https://twitter.com/madetojastig/status/1465905021191700482</v>
      </c>
      <c r="AA377" s="90"/>
      <c r="AB377" s="90"/>
      <c r="AC377" s="97" t="s">
        <v>1135</v>
      </c>
      <c r="AD377" s="90"/>
      <c r="AE377" s="90" t="b">
        <v>0</v>
      </c>
      <c r="AF377" s="90">
        <v>0</v>
      </c>
      <c r="AG377" s="97" t="s">
        <v>1338</v>
      </c>
      <c r="AH377" s="90" t="b">
        <v>0</v>
      </c>
      <c r="AI377" s="90" t="s">
        <v>1442</v>
      </c>
      <c r="AJ377" s="90"/>
      <c r="AK377" s="97" t="s">
        <v>1338</v>
      </c>
      <c r="AL377" s="90" t="b">
        <v>0</v>
      </c>
      <c r="AM377" s="90">
        <v>5</v>
      </c>
      <c r="AN377" s="97" t="s">
        <v>1136</v>
      </c>
      <c r="AO377" s="97" t="s">
        <v>1450</v>
      </c>
      <c r="AP377" s="90" t="b">
        <v>0</v>
      </c>
      <c r="AQ377" s="97" t="s">
        <v>1136</v>
      </c>
      <c r="AR377" s="90" t="s">
        <v>187</v>
      </c>
      <c r="AS377" s="90">
        <v>0</v>
      </c>
      <c r="AT377" s="90">
        <v>0</v>
      </c>
      <c r="AU377" s="90"/>
      <c r="AV377" s="90"/>
      <c r="AW377" s="90"/>
      <c r="AX377" s="90"/>
      <c r="AY377" s="90"/>
      <c r="AZ377" s="90"/>
      <c r="BA377" s="90"/>
      <c r="BB377" s="90"/>
      <c r="BC377">
        <v>2</v>
      </c>
      <c r="BD377" s="89" t="str">
        <f>REPLACE(INDEX(GroupVertices[Group],MATCH(Edges[[#This Row],[Vertex 1]],GroupVertices[Vertex],0)),1,1,"")</f>
        <v>1</v>
      </c>
      <c r="BE377" s="89" t="str">
        <f>REPLACE(INDEX(GroupVertices[Group],MATCH(Edges[[#This Row],[Vertex 2]],GroupVertices[Vertex],0)),1,1,"")</f>
        <v>1</v>
      </c>
      <c r="BF377" s="49">
        <v>0</v>
      </c>
      <c r="BG377" s="50">
        <v>0</v>
      </c>
      <c r="BH377" s="49">
        <v>0</v>
      </c>
      <c r="BI377" s="50">
        <v>0</v>
      </c>
      <c r="BJ377" s="49">
        <v>0</v>
      </c>
      <c r="BK377" s="50">
        <v>0</v>
      </c>
      <c r="BL377" s="49">
        <v>24</v>
      </c>
      <c r="BM377" s="50">
        <v>100</v>
      </c>
      <c r="BN377" s="49">
        <v>24</v>
      </c>
    </row>
    <row r="378" spans="1:66" ht="15">
      <c r="A378" s="65" t="s">
        <v>295</v>
      </c>
      <c r="B378" s="65" t="s">
        <v>338</v>
      </c>
      <c r="C378" s="66" t="s">
        <v>5818</v>
      </c>
      <c r="D378" s="67">
        <v>1</v>
      </c>
      <c r="E378" s="68" t="s">
        <v>132</v>
      </c>
      <c r="F378" s="69">
        <v>32</v>
      </c>
      <c r="G378" s="66" t="s">
        <v>51</v>
      </c>
      <c r="H378" s="70"/>
      <c r="I378" s="71"/>
      <c r="J378" s="71"/>
      <c r="K378" s="35" t="s">
        <v>65</v>
      </c>
      <c r="L378" s="79">
        <v>378</v>
      </c>
      <c r="M378" s="79"/>
      <c r="N378" s="73"/>
      <c r="O378" s="90" t="s">
        <v>523</v>
      </c>
      <c r="P378" s="93">
        <v>44531.20532407407</v>
      </c>
      <c r="Q378" s="90" t="s">
        <v>606</v>
      </c>
      <c r="R378" s="90"/>
      <c r="S378" s="90"/>
      <c r="T378" s="90"/>
      <c r="U378" s="90"/>
      <c r="V378" s="96" t="str">
        <f>HYPERLINK("https://pbs.twimg.com/profile_images/1460949338457350145/3L-YQZgw_normal.jpg")</f>
        <v>https://pbs.twimg.com/profile_images/1460949338457350145/3L-YQZgw_normal.jpg</v>
      </c>
      <c r="W378" s="93">
        <v>44531.20532407407</v>
      </c>
      <c r="X378" s="100">
        <v>44531</v>
      </c>
      <c r="Y378" s="97" t="s">
        <v>881</v>
      </c>
      <c r="Z378" s="96" t="str">
        <f>HYPERLINK("https://twitter.com/madetojastig/status/1465907426188800003")</f>
        <v>https://twitter.com/madetojastig/status/1465907426188800003</v>
      </c>
      <c r="AA378" s="90"/>
      <c r="AB378" s="90"/>
      <c r="AC378" s="97" t="s">
        <v>1133</v>
      </c>
      <c r="AD378" s="90"/>
      <c r="AE378" s="90" t="b">
        <v>0</v>
      </c>
      <c r="AF378" s="90">
        <v>0</v>
      </c>
      <c r="AG378" s="97" t="s">
        <v>1338</v>
      </c>
      <c r="AH378" s="90" t="b">
        <v>0</v>
      </c>
      <c r="AI378" s="90" t="s">
        <v>1442</v>
      </c>
      <c r="AJ378" s="90"/>
      <c r="AK378" s="97" t="s">
        <v>1338</v>
      </c>
      <c r="AL378" s="90" t="b">
        <v>0</v>
      </c>
      <c r="AM378" s="90">
        <v>6</v>
      </c>
      <c r="AN378" s="97" t="s">
        <v>1132</v>
      </c>
      <c r="AO378" s="97" t="s">
        <v>1450</v>
      </c>
      <c r="AP378" s="90" t="b">
        <v>0</v>
      </c>
      <c r="AQ378" s="97" t="s">
        <v>1132</v>
      </c>
      <c r="AR378" s="90" t="s">
        <v>187</v>
      </c>
      <c r="AS378" s="90">
        <v>0</v>
      </c>
      <c r="AT378" s="90">
        <v>0</v>
      </c>
      <c r="AU378" s="90"/>
      <c r="AV378" s="90"/>
      <c r="AW378" s="90"/>
      <c r="AX378" s="90"/>
      <c r="AY378" s="90"/>
      <c r="AZ378" s="90"/>
      <c r="BA378" s="90"/>
      <c r="BB378" s="90"/>
      <c r="BC378">
        <v>2</v>
      </c>
      <c r="BD378" s="89" t="str">
        <f>REPLACE(INDEX(GroupVertices[Group],MATCH(Edges[[#This Row],[Vertex 1]],GroupVertices[Vertex],0)),1,1,"")</f>
        <v>1</v>
      </c>
      <c r="BE378" s="89" t="str">
        <f>REPLACE(INDEX(GroupVertices[Group],MATCH(Edges[[#This Row],[Vertex 2]],GroupVertices[Vertex],0)),1,1,"")</f>
        <v>1</v>
      </c>
      <c r="BF378" s="49">
        <v>0</v>
      </c>
      <c r="BG378" s="50">
        <v>0</v>
      </c>
      <c r="BH378" s="49">
        <v>0</v>
      </c>
      <c r="BI378" s="50">
        <v>0</v>
      </c>
      <c r="BJ378" s="49">
        <v>0</v>
      </c>
      <c r="BK378" s="50">
        <v>0</v>
      </c>
      <c r="BL378" s="49">
        <v>28</v>
      </c>
      <c r="BM378" s="50">
        <v>100</v>
      </c>
      <c r="BN378" s="49">
        <v>28</v>
      </c>
    </row>
    <row r="379" spans="1:66" ht="15">
      <c r="A379" s="65" t="s">
        <v>338</v>
      </c>
      <c r="B379" s="65" t="s">
        <v>356</v>
      </c>
      <c r="C379" s="66" t="s">
        <v>5817</v>
      </c>
      <c r="D379" s="67">
        <v>1</v>
      </c>
      <c r="E379" s="68" t="s">
        <v>132</v>
      </c>
      <c r="F379" s="69">
        <v>32</v>
      </c>
      <c r="G379" s="66" t="s">
        <v>51</v>
      </c>
      <c r="H379" s="70"/>
      <c r="I379" s="71"/>
      <c r="J379" s="71"/>
      <c r="K379" s="35" t="s">
        <v>65</v>
      </c>
      <c r="L379" s="79">
        <v>379</v>
      </c>
      <c r="M379" s="79"/>
      <c r="N379" s="73"/>
      <c r="O379" s="90" t="s">
        <v>522</v>
      </c>
      <c r="P379" s="93">
        <v>44531.18865740741</v>
      </c>
      <c r="Q379" s="90" t="s">
        <v>583</v>
      </c>
      <c r="R379" s="96" t="str">
        <f>HYPERLINK("https://twitter.com/KorpinenLaura/status/1465773688918364174")</f>
        <v>https://twitter.com/KorpinenLaura/status/1465773688918364174</v>
      </c>
      <c r="S379" s="90" t="s">
        <v>693</v>
      </c>
      <c r="T379" s="97" t="s">
        <v>712</v>
      </c>
      <c r="U379" s="90"/>
      <c r="V379" s="96" t="str">
        <f>HYPERLINK("https://pbs.twimg.com/profile_images/1376746837810511872/72eWhpfP_normal.jpg")</f>
        <v>https://pbs.twimg.com/profile_images/1376746837810511872/72eWhpfP_normal.jpg</v>
      </c>
      <c r="W379" s="93">
        <v>44531.18865740741</v>
      </c>
      <c r="X379" s="100">
        <v>44531</v>
      </c>
      <c r="Y379" s="97" t="s">
        <v>887</v>
      </c>
      <c r="Z379" s="96" t="str">
        <f>HYPERLINK("https://twitter.com/korpinenlaura/status/1465901385292128257")</f>
        <v>https://twitter.com/korpinenlaura/status/1465901385292128257</v>
      </c>
      <c r="AA379" s="90"/>
      <c r="AB379" s="90"/>
      <c r="AC379" s="97" t="s">
        <v>1139</v>
      </c>
      <c r="AD379" s="90"/>
      <c r="AE379" s="90" t="b">
        <v>0</v>
      </c>
      <c r="AF379" s="90">
        <v>0</v>
      </c>
      <c r="AG379" s="97" t="s">
        <v>1338</v>
      </c>
      <c r="AH379" s="90" t="b">
        <v>1</v>
      </c>
      <c r="AI379" s="90" t="s">
        <v>1442</v>
      </c>
      <c r="AJ379" s="90"/>
      <c r="AK379" s="97" t="s">
        <v>1301</v>
      </c>
      <c r="AL379" s="90" t="b">
        <v>0</v>
      </c>
      <c r="AM379" s="90">
        <v>10</v>
      </c>
      <c r="AN379" s="97" t="s">
        <v>1171</v>
      </c>
      <c r="AO379" s="97" t="s">
        <v>1452</v>
      </c>
      <c r="AP379" s="90" t="b">
        <v>0</v>
      </c>
      <c r="AQ379" s="97" t="s">
        <v>1171</v>
      </c>
      <c r="AR379" s="90" t="s">
        <v>187</v>
      </c>
      <c r="AS379" s="90">
        <v>0</v>
      </c>
      <c r="AT379" s="90">
        <v>0</v>
      </c>
      <c r="AU379" s="90"/>
      <c r="AV379" s="90"/>
      <c r="AW379" s="90"/>
      <c r="AX379" s="90"/>
      <c r="AY379" s="90"/>
      <c r="AZ379" s="90"/>
      <c r="BA379" s="90"/>
      <c r="BB379" s="90"/>
      <c r="BC379">
        <v>1</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16</v>
      </c>
      <c r="BM379" s="50">
        <v>100</v>
      </c>
      <c r="BN379" s="49">
        <v>16</v>
      </c>
    </row>
    <row r="380" spans="1:66" ht="15">
      <c r="A380" s="65" t="s">
        <v>338</v>
      </c>
      <c r="B380" s="65" t="s">
        <v>458</v>
      </c>
      <c r="C380" s="66" t="s">
        <v>5817</v>
      </c>
      <c r="D380" s="67">
        <v>1</v>
      </c>
      <c r="E380" s="68" t="s">
        <v>132</v>
      </c>
      <c r="F380" s="69">
        <v>32</v>
      </c>
      <c r="G380" s="66" t="s">
        <v>51</v>
      </c>
      <c r="H380" s="70"/>
      <c r="I380" s="71"/>
      <c r="J380" s="71"/>
      <c r="K380" s="35" t="s">
        <v>65</v>
      </c>
      <c r="L380" s="79">
        <v>380</v>
      </c>
      <c r="M380" s="79"/>
      <c r="N380" s="73"/>
      <c r="O380" s="90" t="s">
        <v>524</v>
      </c>
      <c r="P380" s="93">
        <v>44532.29100694445</v>
      </c>
      <c r="Q380" s="90" t="s">
        <v>644</v>
      </c>
      <c r="R380" s="96" t="str">
        <f>HYPERLINK("https://www.duodecimlehti.fi/duo12889")</f>
        <v>https://www.duodecimlehti.fi/duo12889</v>
      </c>
      <c r="S380" s="90" t="s">
        <v>706</v>
      </c>
      <c r="T380" s="97" t="s">
        <v>716</v>
      </c>
      <c r="U380" s="90"/>
      <c r="V380" s="96" t="str">
        <f>HYPERLINK("https://pbs.twimg.com/profile_images/1376746837810511872/72eWhpfP_normal.jpg")</f>
        <v>https://pbs.twimg.com/profile_images/1376746837810511872/72eWhpfP_normal.jpg</v>
      </c>
      <c r="W380" s="93">
        <v>44532.29100694445</v>
      </c>
      <c r="X380" s="100">
        <v>44532</v>
      </c>
      <c r="Y380" s="97" t="s">
        <v>888</v>
      </c>
      <c r="Z380" s="96" t="str">
        <f>HYPERLINK("https://twitter.com/korpinenlaura/status/1466300866609172483")</f>
        <v>https://twitter.com/korpinenlaura/status/1466300866609172483</v>
      </c>
      <c r="AA380" s="90"/>
      <c r="AB380" s="90"/>
      <c r="AC380" s="97" t="s">
        <v>1140</v>
      </c>
      <c r="AD380" s="97" t="s">
        <v>1269</v>
      </c>
      <c r="AE380" s="90" t="b">
        <v>0</v>
      </c>
      <c r="AF380" s="90">
        <v>10</v>
      </c>
      <c r="AG380" s="97" t="s">
        <v>1385</v>
      </c>
      <c r="AH380" s="90" t="b">
        <v>0</v>
      </c>
      <c r="AI380" s="90" t="s">
        <v>1442</v>
      </c>
      <c r="AJ380" s="90"/>
      <c r="AK380" s="97" t="s">
        <v>1338</v>
      </c>
      <c r="AL380" s="90" t="b">
        <v>0</v>
      </c>
      <c r="AM380" s="90">
        <v>0</v>
      </c>
      <c r="AN380" s="97" t="s">
        <v>1338</v>
      </c>
      <c r="AO380" s="97" t="s">
        <v>1452</v>
      </c>
      <c r="AP380" s="90" t="b">
        <v>0</v>
      </c>
      <c r="AQ380" s="97" t="s">
        <v>1269</v>
      </c>
      <c r="AR380" s="90" t="s">
        <v>187</v>
      </c>
      <c r="AS380" s="90">
        <v>0</v>
      </c>
      <c r="AT380" s="90">
        <v>0</v>
      </c>
      <c r="AU380" s="90"/>
      <c r="AV380" s="90"/>
      <c r="AW380" s="90"/>
      <c r="AX380" s="90"/>
      <c r="AY380" s="90"/>
      <c r="AZ380" s="90"/>
      <c r="BA380" s="90"/>
      <c r="BB380" s="90"/>
      <c r="BC380">
        <v>1</v>
      </c>
      <c r="BD380" s="89" t="str">
        <f>REPLACE(INDEX(GroupVertices[Group],MATCH(Edges[[#This Row],[Vertex 1]],GroupVertices[Vertex],0)),1,1,"")</f>
        <v>1</v>
      </c>
      <c r="BE380" s="89" t="str">
        <f>REPLACE(INDEX(GroupVertices[Group],MATCH(Edges[[#This Row],[Vertex 2]],GroupVertices[Vertex],0)),1,1,"")</f>
        <v>2</v>
      </c>
      <c r="BF380" s="49"/>
      <c r="BG380" s="50"/>
      <c r="BH380" s="49"/>
      <c r="BI380" s="50"/>
      <c r="BJ380" s="49"/>
      <c r="BK380" s="50"/>
      <c r="BL380" s="49"/>
      <c r="BM380" s="50"/>
      <c r="BN380" s="49"/>
    </row>
    <row r="381" spans="1:66" ht="15">
      <c r="A381" s="65" t="s">
        <v>338</v>
      </c>
      <c r="B381" s="65" t="s">
        <v>459</v>
      </c>
      <c r="C381" s="66" t="s">
        <v>5817</v>
      </c>
      <c r="D381" s="67">
        <v>1</v>
      </c>
      <c r="E381" s="68" t="s">
        <v>132</v>
      </c>
      <c r="F381" s="69">
        <v>32</v>
      </c>
      <c r="G381" s="66" t="s">
        <v>51</v>
      </c>
      <c r="H381" s="70"/>
      <c r="I381" s="71"/>
      <c r="J381" s="71"/>
      <c r="K381" s="35" t="s">
        <v>65</v>
      </c>
      <c r="L381" s="79">
        <v>381</v>
      </c>
      <c r="M381" s="79"/>
      <c r="N381" s="73"/>
      <c r="O381" s="90" t="s">
        <v>523</v>
      </c>
      <c r="P381" s="93">
        <v>44532.29100694445</v>
      </c>
      <c r="Q381" s="90" t="s">
        <v>644</v>
      </c>
      <c r="R381" s="96" t="str">
        <f>HYPERLINK("https://www.duodecimlehti.fi/duo12889")</f>
        <v>https://www.duodecimlehti.fi/duo12889</v>
      </c>
      <c r="S381" s="90" t="s">
        <v>706</v>
      </c>
      <c r="T381" s="97" t="s">
        <v>716</v>
      </c>
      <c r="U381" s="90"/>
      <c r="V381" s="96" t="str">
        <f>HYPERLINK("https://pbs.twimg.com/profile_images/1376746837810511872/72eWhpfP_normal.jpg")</f>
        <v>https://pbs.twimg.com/profile_images/1376746837810511872/72eWhpfP_normal.jpg</v>
      </c>
      <c r="W381" s="93">
        <v>44532.29100694445</v>
      </c>
      <c r="X381" s="100">
        <v>44532</v>
      </c>
      <c r="Y381" s="97" t="s">
        <v>888</v>
      </c>
      <c r="Z381" s="96" t="str">
        <f>HYPERLINK("https://twitter.com/korpinenlaura/status/1466300866609172483")</f>
        <v>https://twitter.com/korpinenlaura/status/1466300866609172483</v>
      </c>
      <c r="AA381" s="90"/>
      <c r="AB381" s="90"/>
      <c r="AC381" s="97" t="s">
        <v>1140</v>
      </c>
      <c r="AD381" s="97" t="s">
        <v>1269</v>
      </c>
      <c r="AE381" s="90" t="b">
        <v>0</v>
      </c>
      <c r="AF381" s="90">
        <v>10</v>
      </c>
      <c r="AG381" s="97" t="s">
        <v>1385</v>
      </c>
      <c r="AH381" s="90" t="b">
        <v>0</v>
      </c>
      <c r="AI381" s="90" t="s">
        <v>1442</v>
      </c>
      <c r="AJ381" s="90"/>
      <c r="AK381" s="97" t="s">
        <v>1338</v>
      </c>
      <c r="AL381" s="90" t="b">
        <v>0</v>
      </c>
      <c r="AM381" s="90">
        <v>0</v>
      </c>
      <c r="AN381" s="97" t="s">
        <v>1338</v>
      </c>
      <c r="AO381" s="97" t="s">
        <v>1452</v>
      </c>
      <c r="AP381" s="90" t="b">
        <v>0</v>
      </c>
      <c r="AQ381" s="97" t="s">
        <v>1269</v>
      </c>
      <c r="AR381" s="90" t="s">
        <v>187</v>
      </c>
      <c r="AS381" s="90">
        <v>0</v>
      </c>
      <c r="AT381" s="90">
        <v>0</v>
      </c>
      <c r="AU381" s="90"/>
      <c r="AV381" s="90"/>
      <c r="AW381" s="90"/>
      <c r="AX381" s="90"/>
      <c r="AY381" s="90"/>
      <c r="AZ381" s="90"/>
      <c r="BA381" s="90"/>
      <c r="BB381" s="90"/>
      <c r="BC381">
        <v>1</v>
      </c>
      <c r="BD381" s="89" t="str">
        <f>REPLACE(INDEX(GroupVertices[Group],MATCH(Edges[[#This Row],[Vertex 1]],GroupVertices[Vertex],0)),1,1,"")</f>
        <v>1</v>
      </c>
      <c r="BE381" s="89" t="str">
        <f>REPLACE(INDEX(GroupVertices[Group],MATCH(Edges[[#This Row],[Vertex 2]],GroupVertices[Vertex],0)),1,1,"")</f>
        <v>2</v>
      </c>
      <c r="BF381" s="49">
        <v>0</v>
      </c>
      <c r="BG381" s="50">
        <v>0</v>
      </c>
      <c r="BH381" s="49">
        <v>0</v>
      </c>
      <c r="BI381" s="50">
        <v>0</v>
      </c>
      <c r="BJ381" s="49">
        <v>0</v>
      </c>
      <c r="BK381" s="50">
        <v>0</v>
      </c>
      <c r="BL381" s="49">
        <v>22</v>
      </c>
      <c r="BM381" s="50">
        <v>100</v>
      </c>
      <c r="BN381" s="49">
        <v>22</v>
      </c>
    </row>
    <row r="382" spans="1:66" ht="15">
      <c r="A382" s="65" t="s">
        <v>339</v>
      </c>
      <c r="B382" s="65" t="s">
        <v>484</v>
      </c>
      <c r="C382" s="66" t="s">
        <v>5817</v>
      </c>
      <c r="D382" s="67">
        <v>1</v>
      </c>
      <c r="E382" s="68" t="s">
        <v>132</v>
      </c>
      <c r="F382" s="69">
        <v>32</v>
      </c>
      <c r="G382" s="66" t="s">
        <v>51</v>
      </c>
      <c r="H382" s="70"/>
      <c r="I382" s="71"/>
      <c r="J382" s="71"/>
      <c r="K382" s="35" t="s">
        <v>65</v>
      </c>
      <c r="L382" s="79">
        <v>382</v>
      </c>
      <c r="M382" s="79"/>
      <c r="N382" s="73"/>
      <c r="O382" s="90" t="s">
        <v>523</v>
      </c>
      <c r="P382" s="93">
        <v>44532.36488425926</v>
      </c>
      <c r="Q382" s="90" t="s">
        <v>645</v>
      </c>
      <c r="R382" s="90"/>
      <c r="S382" s="90"/>
      <c r="T382" s="90"/>
      <c r="U382" s="90"/>
      <c r="V382" s="96" t="str">
        <f>HYPERLINK("https://pbs.twimg.com/profile_images/1156538055718854656/a6P2yJEX_normal.jpg")</f>
        <v>https://pbs.twimg.com/profile_images/1156538055718854656/a6P2yJEX_normal.jpg</v>
      </c>
      <c r="W382" s="93">
        <v>44532.36488425926</v>
      </c>
      <c r="X382" s="100">
        <v>44532</v>
      </c>
      <c r="Y382" s="97" t="s">
        <v>889</v>
      </c>
      <c r="Z382" s="96" t="str">
        <f>HYPERLINK("https://twitter.com/paullindema/status/1466327638486794246")</f>
        <v>https://twitter.com/paullindema/status/1466327638486794246</v>
      </c>
      <c r="AA382" s="90"/>
      <c r="AB382" s="90"/>
      <c r="AC382" s="97" t="s">
        <v>1141</v>
      </c>
      <c r="AD382" s="97" t="s">
        <v>1302</v>
      </c>
      <c r="AE382" s="90" t="b">
        <v>0</v>
      </c>
      <c r="AF382" s="90">
        <v>0</v>
      </c>
      <c r="AG382" s="97" t="s">
        <v>1412</v>
      </c>
      <c r="AH382" s="90" t="b">
        <v>0</v>
      </c>
      <c r="AI382" s="90" t="s">
        <v>1442</v>
      </c>
      <c r="AJ382" s="90"/>
      <c r="AK382" s="97" t="s">
        <v>1338</v>
      </c>
      <c r="AL382" s="90" t="b">
        <v>0</v>
      </c>
      <c r="AM382" s="90">
        <v>0</v>
      </c>
      <c r="AN382" s="97" t="s">
        <v>1338</v>
      </c>
      <c r="AO382" s="97" t="s">
        <v>1450</v>
      </c>
      <c r="AP382" s="90" t="b">
        <v>0</v>
      </c>
      <c r="AQ382" s="97" t="s">
        <v>1302</v>
      </c>
      <c r="AR382" s="90" t="s">
        <v>187</v>
      </c>
      <c r="AS382" s="90">
        <v>0</v>
      </c>
      <c r="AT382" s="90">
        <v>0</v>
      </c>
      <c r="AU382" s="90"/>
      <c r="AV382" s="90"/>
      <c r="AW382" s="90"/>
      <c r="AX382" s="90"/>
      <c r="AY382" s="90"/>
      <c r="AZ382" s="90"/>
      <c r="BA382" s="90"/>
      <c r="BB382" s="90"/>
      <c r="BC382">
        <v>1</v>
      </c>
      <c r="BD382" s="89" t="str">
        <f>REPLACE(INDEX(GroupVertices[Group],MATCH(Edges[[#This Row],[Vertex 1]],GroupVertices[Vertex],0)),1,1,"")</f>
        <v>22</v>
      </c>
      <c r="BE382" s="89" t="str">
        <f>REPLACE(INDEX(GroupVertices[Group],MATCH(Edges[[#This Row],[Vertex 2]],GroupVertices[Vertex],0)),1,1,"")</f>
        <v>22</v>
      </c>
      <c r="BF382" s="49">
        <v>0</v>
      </c>
      <c r="BG382" s="50">
        <v>0</v>
      </c>
      <c r="BH382" s="49">
        <v>0</v>
      </c>
      <c r="BI382" s="50">
        <v>0</v>
      </c>
      <c r="BJ382" s="49">
        <v>0</v>
      </c>
      <c r="BK382" s="50">
        <v>0</v>
      </c>
      <c r="BL382" s="49">
        <v>17</v>
      </c>
      <c r="BM382" s="50">
        <v>100</v>
      </c>
      <c r="BN382" s="49">
        <v>17</v>
      </c>
    </row>
    <row r="383" spans="1:66" ht="15">
      <c r="A383" s="65" t="s">
        <v>340</v>
      </c>
      <c r="B383" s="65" t="s">
        <v>485</v>
      </c>
      <c r="C383" s="66" t="s">
        <v>5817</v>
      </c>
      <c r="D383" s="67">
        <v>1</v>
      </c>
      <c r="E383" s="68" t="s">
        <v>132</v>
      </c>
      <c r="F383" s="69">
        <v>32</v>
      </c>
      <c r="G383" s="66" t="s">
        <v>51</v>
      </c>
      <c r="H383" s="70"/>
      <c r="I383" s="71"/>
      <c r="J383" s="71"/>
      <c r="K383" s="35" t="s">
        <v>65</v>
      </c>
      <c r="L383" s="79">
        <v>383</v>
      </c>
      <c r="M383" s="79"/>
      <c r="N383" s="73"/>
      <c r="O383" s="90" t="s">
        <v>524</v>
      </c>
      <c r="P383" s="93">
        <v>44532.42834490741</v>
      </c>
      <c r="Q383" s="90" t="s">
        <v>646</v>
      </c>
      <c r="R383" s="90"/>
      <c r="S383" s="90"/>
      <c r="T383" s="90"/>
      <c r="U383" s="90"/>
      <c r="V383" s="96" t="str">
        <f>HYPERLINK("https://pbs.twimg.com/profile_images/1361918914171711489/N_BsshoV_normal.jpg")</f>
        <v>https://pbs.twimg.com/profile_images/1361918914171711489/N_BsshoV_normal.jpg</v>
      </c>
      <c r="W383" s="93">
        <v>44532.42834490741</v>
      </c>
      <c r="X383" s="100">
        <v>44532</v>
      </c>
      <c r="Y383" s="97" t="s">
        <v>890</v>
      </c>
      <c r="Z383" s="96" t="str">
        <f>HYPERLINK("https://twitter.com/henri54106227/status/1466350634710585346")</f>
        <v>https://twitter.com/henri54106227/status/1466350634710585346</v>
      </c>
      <c r="AA383" s="90"/>
      <c r="AB383" s="90"/>
      <c r="AC383" s="97" t="s">
        <v>1142</v>
      </c>
      <c r="AD383" s="97" t="s">
        <v>1303</v>
      </c>
      <c r="AE383" s="90" t="b">
        <v>0</v>
      </c>
      <c r="AF383" s="90">
        <v>0</v>
      </c>
      <c r="AG383" s="97" t="s">
        <v>1413</v>
      </c>
      <c r="AH383" s="90" t="b">
        <v>0</v>
      </c>
      <c r="AI383" s="90" t="s">
        <v>1442</v>
      </c>
      <c r="AJ383" s="90"/>
      <c r="AK383" s="97" t="s">
        <v>1338</v>
      </c>
      <c r="AL383" s="90" t="b">
        <v>0</v>
      </c>
      <c r="AM383" s="90">
        <v>0</v>
      </c>
      <c r="AN383" s="97" t="s">
        <v>1338</v>
      </c>
      <c r="AO383" s="97" t="s">
        <v>1452</v>
      </c>
      <c r="AP383" s="90" t="b">
        <v>0</v>
      </c>
      <c r="AQ383" s="97" t="s">
        <v>1303</v>
      </c>
      <c r="AR383" s="90" t="s">
        <v>187</v>
      </c>
      <c r="AS383" s="90">
        <v>0</v>
      </c>
      <c r="AT383" s="90">
        <v>0</v>
      </c>
      <c r="AU383" s="90"/>
      <c r="AV383" s="90"/>
      <c r="AW383" s="90"/>
      <c r="AX383" s="90"/>
      <c r="AY383" s="90"/>
      <c r="AZ383" s="90"/>
      <c r="BA383" s="90"/>
      <c r="BB383" s="90"/>
      <c r="BC383">
        <v>1</v>
      </c>
      <c r="BD383" s="89" t="str">
        <f>REPLACE(INDEX(GroupVertices[Group],MATCH(Edges[[#This Row],[Vertex 1]],GroupVertices[Vertex],0)),1,1,"")</f>
        <v>13</v>
      </c>
      <c r="BE383" s="89" t="str">
        <f>REPLACE(INDEX(GroupVertices[Group],MATCH(Edges[[#This Row],[Vertex 2]],GroupVertices[Vertex],0)),1,1,"")</f>
        <v>13</v>
      </c>
      <c r="BF383" s="49"/>
      <c r="BG383" s="50"/>
      <c r="BH383" s="49"/>
      <c r="BI383" s="50"/>
      <c r="BJ383" s="49"/>
      <c r="BK383" s="50"/>
      <c r="BL383" s="49"/>
      <c r="BM383" s="50"/>
      <c r="BN383" s="49"/>
    </row>
    <row r="384" spans="1:66" ht="15">
      <c r="A384" s="65" t="s">
        <v>340</v>
      </c>
      <c r="B384" s="65" t="s">
        <v>486</v>
      </c>
      <c r="C384" s="66" t="s">
        <v>5817</v>
      </c>
      <c r="D384" s="67">
        <v>1</v>
      </c>
      <c r="E384" s="68" t="s">
        <v>132</v>
      </c>
      <c r="F384" s="69">
        <v>32</v>
      </c>
      <c r="G384" s="66" t="s">
        <v>51</v>
      </c>
      <c r="H384" s="70"/>
      <c r="I384" s="71"/>
      <c r="J384" s="71"/>
      <c r="K384" s="35" t="s">
        <v>65</v>
      </c>
      <c r="L384" s="79">
        <v>384</v>
      </c>
      <c r="M384" s="79"/>
      <c r="N384" s="73"/>
      <c r="O384" s="90" t="s">
        <v>524</v>
      </c>
      <c r="P384" s="93">
        <v>44532.42834490741</v>
      </c>
      <c r="Q384" s="90" t="s">
        <v>646</v>
      </c>
      <c r="R384" s="90"/>
      <c r="S384" s="90"/>
      <c r="T384" s="90"/>
      <c r="U384" s="90"/>
      <c r="V384" s="96" t="str">
        <f>HYPERLINK("https://pbs.twimg.com/profile_images/1361918914171711489/N_BsshoV_normal.jpg")</f>
        <v>https://pbs.twimg.com/profile_images/1361918914171711489/N_BsshoV_normal.jpg</v>
      </c>
      <c r="W384" s="93">
        <v>44532.42834490741</v>
      </c>
      <c r="X384" s="100">
        <v>44532</v>
      </c>
      <c r="Y384" s="97" t="s">
        <v>890</v>
      </c>
      <c r="Z384" s="96" t="str">
        <f>HYPERLINK("https://twitter.com/henri54106227/status/1466350634710585346")</f>
        <v>https://twitter.com/henri54106227/status/1466350634710585346</v>
      </c>
      <c r="AA384" s="90"/>
      <c r="AB384" s="90"/>
      <c r="AC384" s="97" t="s">
        <v>1142</v>
      </c>
      <c r="AD384" s="97" t="s">
        <v>1303</v>
      </c>
      <c r="AE384" s="90" t="b">
        <v>0</v>
      </c>
      <c r="AF384" s="90">
        <v>0</v>
      </c>
      <c r="AG384" s="97" t="s">
        <v>1413</v>
      </c>
      <c r="AH384" s="90" t="b">
        <v>0</v>
      </c>
      <c r="AI384" s="90" t="s">
        <v>1442</v>
      </c>
      <c r="AJ384" s="90"/>
      <c r="AK384" s="97" t="s">
        <v>1338</v>
      </c>
      <c r="AL384" s="90" t="b">
        <v>0</v>
      </c>
      <c r="AM384" s="90">
        <v>0</v>
      </c>
      <c r="AN384" s="97" t="s">
        <v>1338</v>
      </c>
      <c r="AO384" s="97" t="s">
        <v>1452</v>
      </c>
      <c r="AP384" s="90" t="b">
        <v>0</v>
      </c>
      <c r="AQ384" s="97" t="s">
        <v>1303</v>
      </c>
      <c r="AR384" s="90" t="s">
        <v>187</v>
      </c>
      <c r="AS384" s="90">
        <v>0</v>
      </c>
      <c r="AT384" s="90">
        <v>0</v>
      </c>
      <c r="AU384" s="90"/>
      <c r="AV384" s="90"/>
      <c r="AW384" s="90"/>
      <c r="AX384" s="90"/>
      <c r="AY384" s="90"/>
      <c r="AZ384" s="90"/>
      <c r="BA384" s="90"/>
      <c r="BB384" s="90"/>
      <c r="BC384">
        <v>1</v>
      </c>
      <c r="BD384" s="89" t="str">
        <f>REPLACE(INDEX(GroupVertices[Group],MATCH(Edges[[#This Row],[Vertex 1]],GroupVertices[Vertex],0)),1,1,"")</f>
        <v>13</v>
      </c>
      <c r="BE384" s="89" t="str">
        <f>REPLACE(INDEX(GroupVertices[Group],MATCH(Edges[[#This Row],[Vertex 2]],GroupVertices[Vertex],0)),1,1,"")</f>
        <v>13</v>
      </c>
      <c r="BF384" s="49"/>
      <c r="BG384" s="50"/>
      <c r="BH384" s="49"/>
      <c r="BI384" s="50"/>
      <c r="BJ384" s="49"/>
      <c r="BK384" s="50"/>
      <c r="BL384" s="49"/>
      <c r="BM384" s="50"/>
      <c r="BN384" s="49"/>
    </row>
    <row r="385" spans="1:66" ht="15">
      <c r="A385" s="65" t="s">
        <v>340</v>
      </c>
      <c r="B385" s="65" t="s">
        <v>487</v>
      </c>
      <c r="C385" s="66" t="s">
        <v>5817</v>
      </c>
      <c r="D385" s="67">
        <v>1</v>
      </c>
      <c r="E385" s="68" t="s">
        <v>132</v>
      </c>
      <c r="F385" s="69">
        <v>32</v>
      </c>
      <c r="G385" s="66" t="s">
        <v>51</v>
      </c>
      <c r="H385" s="70"/>
      <c r="I385" s="71"/>
      <c r="J385" s="71"/>
      <c r="K385" s="35" t="s">
        <v>65</v>
      </c>
      <c r="L385" s="79">
        <v>385</v>
      </c>
      <c r="M385" s="79"/>
      <c r="N385" s="73"/>
      <c r="O385" s="90" t="s">
        <v>523</v>
      </c>
      <c r="P385" s="93">
        <v>44532.42834490741</v>
      </c>
      <c r="Q385" s="90" t="s">
        <v>646</v>
      </c>
      <c r="R385" s="90"/>
      <c r="S385" s="90"/>
      <c r="T385" s="90"/>
      <c r="U385" s="90"/>
      <c r="V385" s="96" t="str">
        <f>HYPERLINK("https://pbs.twimg.com/profile_images/1361918914171711489/N_BsshoV_normal.jpg")</f>
        <v>https://pbs.twimg.com/profile_images/1361918914171711489/N_BsshoV_normal.jpg</v>
      </c>
      <c r="W385" s="93">
        <v>44532.42834490741</v>
      </c>
      <c r="X385" s="100">
        <v>44532</v>
      </c>
      <c r="Y385" s="97" t="s">
        <v>890</v>
      </c>
      <c r="Z385" s="96" t="str">
        <f>HYPERLINK("https://twitter.com/henri54106227/status/1466350634710585346")</f>
        <v>https://twitter.com/henri54106227/status/1466350634710585346</v>
      </c>
      <c r="AA385" s="90"/>
      <c r="AB385" s="90"/>
      <c r="AC385" s="97" t="s">
        <v>1142</v>
      </c>
      <c r="AD385" s="97" t="s">
        <v>1303</v>
      </c>
      <c r="AE385" s="90" t="b">
        <v>0</v>
      </c>
      <c r="AF385" s="90">
        <v>0</v>
      </c>
      <c r="AG385" s="97" t="s">
        <v>1413</v>
      </c>
      <c r="AH385" s="90" t="b">
        <v>0</v>
      </c>
      <c r="AI385" s="90" t="s">
        <v>1442</v>
      </c>
      <c r="AJ385" s="90"/>
      <c r="AK385" s="97" t="s">
        <v>1338</v>
      </c>
      <c r="AL385" s="90" t="b">
        <v>0</v>
      </c>
      <c r="AM385" s="90">
        <v>0</v>
      </c>
      <c r="AN385" s="97" t="s">
        <v>1338</v>
      </c>
      <c r="AO385" s="97" t="s">
        <v>1452</v>
      </c>
      <c r="AP385" s="90" t="b">
        <v>0</v>
      </c>
      <c r="AQ385" s="97" t="s">
        <v>1303</v>
      </c>
      <c r="AR385" s="90" t="s">
        <v>187</v>
      </c>
      <c r="AS385" s="90">
        <v>0</v>
      </c>
      <c r="AT385" s="90">
        <v>0</v>
      </c>
      <c r="AU385" s="90"/>
      <c r="AV385" s="90"/>
      <c r="AW385" s="90"/>
      <c r="AX385" s="90"/>
      <c r="AY385" s="90"/>
      <c r="AZ385" s="90"/>
      <c r="BA385" s="90"/>
      <c r="BB385" s="90"/>
      <c r="BC385">
        <v>1</v>
      </c>
      <c r="BD385" s="89" t="str">
        <f>REPLACE(INDEX(GroupVertices[Group],MATCH(Edges[[#This Row],[Vertex 1]],GroupVertices[Vertex],0)),1,1,"")</f>
        <v>13</v>
      </c>
      <c r="BE385" s="89" t="str">
        <f>REPLACE(INDEX(GroupVertices[Group],MATCH(Edges[[#This Row],[Vertex 2]],GroupVertices[Vertex],0)),1,1,"")</f>
        <v>13</v>
      </c>
      <c r="BF385" s="49">
        <v>0</v>
      </c>
      <c r="BG385" s="50">
        <v>0</v>
      </c>
      <c r="BH385" s="49">
        <v>0</v>
      </c>
      <c r="BI385" s="50">
        <v>0</v>
      </c>
      <c r="BJ385" s="49">
        <v>0</v>
      </c>
      <c r="BK385" s="50">
        <v>0</v>
      </c>
      <c r="BL385" s="49">
        <v>37</v>
      </c>
      <c r="BM385" s="50">
        <v>100</v>
      </c>
      <c r="BN385" s="49">
        <v>37</v>
      </c>
    </row>
    <row r="386" spans="1:66" ht="15">
      <c r="A386" s="65" t="s">
        <v>341</v>
      </c>
      <c r="B386" s="65" t="s">
        <v>488</v>
      </c>
      <c r="C386" s="66" t="s">
        <v>5817</v>
      </c>
      <c r="D386" s="67">
        <v>1</v>
      </c>
      <c r="E386" s="68" t="s">
        <v>132</v>
      </c>
      <c r="F386" s="69">
        <v>32</v>
      </c>
      <c r="G386" s="66" t="s">
        <v>51</v>
      </c>
      <c r="H386" s="70"/>
      <c r="I386" s="71"/>
      <c r="J386" s="71"/>
      <c r="K386" s="35" t="s">
        <v>65</v>
      </c>
      <c r="L386" s="79">
        <v>386</v>
      </c>
      <c r="M386" s="79"/>
      <c r="N386" s="73"/>
      <c r="O386" s="90" t="s">
        <v>523</v>
      </c>
      <c r="P386" s="93">
        <v>44525.62165509259</v>
      </c>
      <c r="Q386" s="90" t="s">
        <v>647</v>
      </c>
      <c r="R386" s="90"/>
      <c r="S386" s="90"/>
      <c r="T386" s="90"/>
      <c r="U386" s="90"/>
      <c r="V386" s="96" t="str">
        <f>HYPERLINK("https://pbs.twimg.com/profile_images/1197521413386715136/KE0H-A_T_normal.jpg")</f>
        <v>https://pbs.twimg.com/profile_images/1197521413386715136/KE0H-A_T_normal.jpg</v>
      </c>
      <c r="W386" s="93">
        <v>44525.62165509259</v>
      </c>
      <c r="X386" s="100">
        <v>44525</v>
      </c>
      <c r="Y386" s="97" t="s">
        <v>891</v>
      </c>
      <c r="Z386" s="96" t="str">
        <f>HYPERLINK("https://twitter.com/makrikali/status/1463883974435086336")</f>
        <v>https://twitter.com/makrikali/status/1463883974435086336</v>
      </c>
      <c r="AA386" s="90"/>
      <c r="AB386" s="90"/>
      <c r="AC386" s="97" t="s">
        <v>1143</v>
      </c>
      <c r="AD386" s="97" t="s">
        <v>1304</v>
      </c>
      <c r="AE386" s="90" t="b">
        <v>0</v>
      </c>
      <c r="AF386" s="90">
        <v>2</v>
      </c>
      <c r="AG386" s="97" t="s">
        <v>1414</v>
      </c>
      <c r="AH386" s="90" t="b">
        <v>0</v>
      </c>
      <c r="AI386" s="90" t="s">
        <v>1442</v>
      </c>
      <c r="AJ386" s="90"/>
      <c r="AK386" s="97" t="s">
        <v>1338</v>
      </c>
      <c r="AL386" s="90" t="b">
        <v>0</v>
      </c>
      <c r="AM386" s="90">
        <v>0</v>
      </c>
      <c r="AN386" s="97" t="s">
        <v>1338</v>
      </c>
      <c r="AO386" s="97" t="s">
        <v>1450</v>
      </c>
      <c r="AP386" s="90" t="b">
        <v>0</v>
      </c>
      <c r="AQ386" s="97" t="s">
        <v>1304</v>
      </c>
      <c r="AR386" s="90" t="s">
        <v>187</v>
      </c>
      <c r="AS386" s="90">
        <v>0</v>
      </c>
      <c r="AT386" s="90">
        <v>0</v>
      </c>
      <c r="AU386" s="90"/>
      <c r="AV386" s="90"/>
      <c r="AW386" s="90"/>
      <c r="AX386" s="90"/>
      <c r="AY386" s="90"/>
      <c r="AZ386" s="90"/>
      <c r="BA386" s="90"/>
      <c r="BB386" s="90"/>
      <c r="BC386">
        <v>1</v>
      </c>
      <c r="BD386" s="89" t="str">
        <f>REPLACE(INDEX(GroupVertices[Group],MATCH(Edges[[#This Row],[Vertex 1]],GroupVertices[Vertex],0)),1,1,"")</f>
        <v>6</v>
      </c>
      <c r="BE386" s="89" t="str">
        <f>REPLACE(INDEX(GroupVertices[Group],MATCH(Edges[[#This Row],[Vertex 2]],GroupVertices[Vertex],0)),1,1,"")</f>
        <v>6</v>
      </c>
      <c r="BF386" s="49">
        <v>0</v>
      </c>
      <c r="BG386" s="50">
        <v>0</v>
      </c>
      <c r="BH386" s="49">
        <v>0</v>
      </c>
      <c r="BI386" s="50">
        <v>0</v>
      </c>
      <c r="BJ386" s="49">
        <v>0</v>
      </c>
      <c r="BK386" s="50">
        <v>0</v>
      </c>
      <c r="BL386" s="49">
        <v>28</v>
      </c>
      <c r="BM386" s="50">
        <v>100</v>
      </c>
      <c r="BN386" s="49">
        <v>28</v>
      </c>
    </row>
    <row r="387" spans="1:66" ht="15">
      <c r="A387" s="65" t="s">
        <v>295</v>
      </c>
      <c r="B387" s="65" t="s">
        <v>374</v>
      </c>
      <c r="C387" s="66" t="s">
        <v>5817</v>
      </c>
      <c r="D387" s="67">
        <v>1</v>
      </c>
      <c r="E387" s="68" t="s">
        <v>132</v>
      </c>
      <c r="F387" s="69">
        <v>32</v>
      </c>
      <c r="G387" s="66" t="s">
        <v>51</v>
      </c>
      <c r="H387" s="70"/>
      <c r="I387" s="71"/>
      <c r="J387" s="71"/>
      <c r="K387" s="35" t="s">
        <v>65</v>
      </c>
      <c r="L387" s="79">
        <v>387</v>
      </c>
      <c r="M387" s="79"/>
      <c r="N387" s="73"/>
      <c r="O387" s="90" t="s">
        <v>522</v>
      </c>
      <c r="P387" s="93">
        <v>44526.489895833336</v>
      </c>
      <c r="Q387" s="90" t="s">
        <v>578</v>
      </c>
      <c r="R387" s="96" t="str">
        <f>HYPERLINK("https://twitter.com/OKuokka/status/1448586562934018050")</f>
        <v>https://twitter.com/OKuokka/status/1448586562934018050</v>
      </c>
      <c r="S387" s="90" t="s">
        <v>693</v>
      </c>
      <c r="T387" s="90"/>
      <c r="U387" s="90"/>
      <c r="V387" s="96" t="str">
        <f>HYPERLINK("https://pbs.twimg.com/profile_images/1460949338457350145/3L-YQZgw_normal.jpg")</f>
        <v>https://pbs.twimg.com/profile_images/1460949338457350145/3L-YQZgw_normal.jpg</v>
      </c>
      <c r="W387" s="93">
        <v>44526.489895833336</v>
      </c>
      <c r="X387" s="100">
        <v>44526</v>
      </c>
      <c r="Y387" s="97" t="s">
        <v>892</v>
      </c>
      <c r="Z387" s="96" t="str">
        <f>HYPERLINK("https://twitter.com/madetojastig/status/1464198613307994115")</f>
        <v>https://twitter.com/madetojastig/status/1464198613307994115</v>
      </c>
      <c r="AA387" s="90"/>
      <c r="AB387" s="90"/>
      <c r="AC387" s="97" t="s">
        <v>1144</v>
      </c>
      <c r="AD387" s="90"/>
      <c r="AE387" s="90" t="b">
        <v>0</v>
      </c>
      <c r="AF387" s="90">
        <v>0</v>
      </c>
      <c r="AG387" s="97" t="s">
        <v>1338</v>
      </c>
      <c r="AH387" s="90" t="b">
        <v>1</v>
      </c>
      <c r="AI387" s="90" t="s">
        <v>1442</v>
      </c>
      <c r="AJ387" s="90"/>
      <c r="AK387" s="97" t="s">
        <v>1216</v>
      </c>
      <c r="AL387" s="90" t="b">
        <v>0</v>
      </c>
      <c r="AM387" s="90">
        <v>8</v>
      </c>
      <c r="AN387" s="97" t="s">
        <v>1212</v>
      </c>
      <c r="AO387" s="97" t="s">
        <v>1450</v>
      </c>
      <c r="AP387" s="90" t="b">
        <v>0</v>
      </c>
      <c r="AQ387" s="97" t="s">
        <v>1212</v>
      </c>
      <c r="AR387" s="90" t="s">
        <v>187</v>
      </c>
      <c r="AS387" s="90">
        <v>0</v>
      </c>
      <c r="AT387" s="90">
        <v>0</v>
      </c>
      <c r="AU387" s="90"/>
      <c r="AV387" s="90"/>
      <c r="AW387" s="90"/>
      <c r="AX387" s="90"/>
      <c r="AY387" s="90"/>
      <c r="AZ387" s="90"/>
      <c r="BA387" s="90"/>
      <c r="BB387" s="90"/>
      <c r="BC387">
        <v>1</v>
      </c>
      <c r="BD387" s="89" t="str">
        <f>REPLACE(INDEX(GroupVertices[Group],MATCH(Edges[[#This Row],[Vertex 1]],GroupVertices[Vertex],0)),1,1,"")</f>
        <v>1</v>
      </c>
      <c r="BE387" s="89" t="str">
        <f>REPLACE(INDEX(GroupVertices[Group],MATCH(Edges[[#This Row],[Vertex 2]],GroupVertices[Vertex],0)),1,1,"")</f>
        <v>1</v>
      </c>
      <c r="BF387" s="49"/>
      <c r="BG387" s="50"/>
      <c r="BH387" s="49"/>
      <c r="BI387" s="50"/>
      <c r="BJ387" s="49"/>
      <c r="BK387" s="50"/>
      <c r="BL387" s="49"/>
      <c r="BM387" s="50"/>
      <c r="BN387" s="49"/>
    </row>
    <row r="388" spans="1:66" ht="15">
      <c r="A388" s="65" t="s">
        <v>295</v>
      </c>
      <c r="B388" s="65" t="s">
        <v>434</v>
      </c>
      <c r="C388" s="66" t="s">
        <v>5817</v>
      </c>
      <c r="D388" s="67">
        <v>1</v>
      </c>
      <c r="E388" s="68" t="s">
        <v>132</v>
      </c>
      <c r="F388" s="69">
        <v>32</v>
      </c>
      <c r="G388" s="66" t="s">
        <v>51</v>
      </c>
      <c r="H388" s="70"/>
      <c r="I388" s="71"/>
      <c r="J388" s="71"/>
      <c r="K388" s="35" t="s">
        <v>65</v>
      </c>
      <c r="L388" s="79">
        <v>388</v>
      </c>
      <c r="M388" s="79"/>
      <c r="N388" s="73"/>
      <c r="O388" s="90" t="s">
        <v>523</v>
      </c>
      <c r="P388" s="93">
        <v>44526.489895833336</v>
      </c>
      <c r="Q388" s="90" t="s">
        <v>578</v>
      </c>
      <c r="R388" s="96" t="str">
        <f>HYPERLINK("https://twitter.com/OKuokka/status/1448586562934018050")</f>
        <v>https://twitter.com/OKuokka/status/1448586562934018050</v>
      </c>
      <c r="S388" s="90" t="s">
        <v>693</v>
      </c>
      <c r="T388" s="90"/>
      <c r="U388" s="90"/>
      <c r="V388" s="96" t="str">
        <f>HYPERLINK("https://pbs.twimg.com/profile_images/1460949338457350145/3L-YQZgw_normal.jpg")</f>
        <v>https://pbs.twimg.com/profile_images/1460949338457350145/3L-YQZgw_normal.jpg</v>
      </c>
      <c r="W388" s="93">
        <v>44526.489895833336</v>
      </c>
      <c r="X388" s="100">
        <v>44526</v>
      </c>
      <c r="Y388" s="97" t="s">
        <v>892</v>
      </c>
      <c r="Z388" s="96" t="str">
        <f>HYPERLINK("https://twitter.com/madetojastig/status/1464198613307994115")</f>
        <v>https://twitter.com/madetojastig/status/1464198613307994115</v>
      </c>
      <c r="AA388" s="90"/>
      <c r="AB388" s="90"/>
      <c r="AC388" s="97" t="s">
        <v>1144</v>
      </c>
      <c r="AD388" s="90"/>
      <c r="AE388" s="90" t="b">
        <v>0</v>
      </c>
      <c r="AF388" s="90">
        <v>0</v>
      </c>
      <c r="AG388" s="97" t="s">
        <v>1338</v>
      </c>
      <c r="AH388" s="90" t="b">
        <v>1</v>
      </c>
      <c r="AI388" s="90" t="s">
        <v>1442</v>
      </c>
      <c r="AJ388" s="90"/>
      <c r="AK388" s="97" t="s">
        <v>1216</v>
      </c>
      <c r="AL388" s="90" t="b">
        <v>0</v>
      </c>
      <c r="AM388" s="90">
        <v>8</v>
      </c>
      <c r="AN388" s="97" t="s">
        <v>1212</v>
      </c>
      <c r="AO388" s="97" t="s">
        <v>1450</v>
      </c>
      <c r="AP388" s="90" t="b">
        <v>0</v>
      </c>
      <c r="AQ388" s="97" t="s">
        <v>1212</v>
      </c>
      <c r="AR388" s="90" t="s">
        <v>187</v>
      </c>
      <c r="AS388" s="90">
        <v>0</v>
      </c>
      <c r="AT388" s="90">
        <v>0</v>
      </c>
      <c r="AU388" s="90"/>
      <c r="AV388" s="90"/>
      <c r="AW388" s="90"/>
      <c r="AX388" s="90"/>
      <c r="AY388" s="90"/>
      <c r="AZ388" s="90"/>
      <c r="BA388" s="90"/>
      <c r="BB388" s="90"/>
      <c r="BC388">
        <v>1</v>
      </c>
      <c r="BD388" s="89" t="str">
        <f>REPLACE(INDEX(GroupVertices[Group],MATCH(Edges[[#This Row],[Vertex 1]],GroupVertices[Vertex],0)),1,1,"")</f>
        <v>1</v>
      </c>
      <c r="BE388" s="89" t="str">
        <f>REPLACE(INDEX(GroupVertices[Group],MATCH(Edges[[#This Row],[Vertex 2]],GroupVertices[Vertex],0)),1,1,"")</f>
        <v>1</v>
      </c>
      <c r="BF388" s="49">
        <v>0</v>
      </c>
      <c r="BG388" s="50">
        <v>0</v>
      </c>
      <c r="BH388" s="49">
        <v>0</v>
      </c>
      <c r="BI388" s="50">
        <v>0</v>
      </c>
      <c r="BJ388" s="49">
        <v>0</v>
      </c>
      <c r="BK388" s="50">
        <v>0</v>
      </c>
      <c r="BL388" s="49">
        <v>14</v>
      </c>
      <c r="BM388" s="50">
        <v>100</v>
      </c>
      <c r="BN388" s="49">
        <v>14</v>
      </c>
    </row>
    <row r="389" spans="1:66" ht="15">
      <c r="A389" s="65" t="s">
        <v>341</v>
      </c>
      <c r="B389" s="65" t="s">
        <v>295</v>
      </c>
      <c r="C389" s="66" t="s">
        <v>5817</v>
      </c>
      <c r="D389" s="67">
        <v>1</v>
      </c>
      <c r="E389" s="68" t="s">
        <v>132</v>
      </c>
      <c r="F389" s="69">
        <v>32</v>
      </c>
      <c r="G389" s="66" t="s">
        <v>51</v>
      </c>
      <c r="H389" s="70"/>
      <c r="I389" s="71"/>
      <c r="J389" s="71"/>
      <c r="K389" s="35" t="s">
        <v>65</v>
      </c>
      <c r="L389" s="79">
        <v>389</v>
      </c>
      <c r="M389" s="79"/>
      <c r="N389" s="73"/>
      <c r="O389" s="90" t="s">
        <v>524</v>
      </c>
      <c r="P389" s="93">
        <v>44526.44615740741</v>
      </c>
      <c r="Q389" s="90" t="s">
        <v>648</v>
      </c>
      <c r="R389" s="90"/>
      <c r="S389" s="90"/>
      <c r="T389" s="97" t="s">
        <v>717</v>
      </c>
      <c r="U389" s="90"/>
      <c r="V389" s="96" t="str">
        <f>HYPERLINK("https://pbs.twimg.com/profile_images/1197521413386715136/KE0H-A_T_normal.jpg")</f>
        <v>https://pbs.twimg.com/profile_images/1197521413386715136/KE0H-A_T_normal.jpg</v>
      </c>
      <c r="W389" s="93">
        <v>44526.44615740741</v>
      </c>
      <c r="X389" s="100">
        <v>44526</v>
      </c>
      <c r="Y389" s="97" t="s">
        <v>893</v>
      </c>
      <c r="Z389" s="96" t="str">
        <f>HYPERLINK("https://twitter.com/makrikali/status/1464182764740263951")</f>
        <v>https://twitter.com/makrikali/status/1464182764740263951</v>
      </c>
      <c r="AA389" s="90"/>
      <c r="AB389" s="90"/>
      <c r="AC389" s="97" t="s">
        <v>1145</v>
      </c>
      <c r="AD389" s="97" t="s">
        <v>1305</v>
      </c>
      <c r="AE389" s="90" t="b">
        <v>0</v>
      </c>
      <c r="AF389" s="90">
        <v>0</v>
      </c>
      <c r="AG389" s="97" t="s">
        <v>1415</v>
      </c>
      <c r="AH389" s="90" t="b">
        <v>0</v>
      </c>
      <c r="AI389" s="90" t="s">
        <v>1442</v>
      </c>
      <c r="AJ389" s="90"/>
      <c r="AK389" s="97" t="s">
        <v>1338</v>
      </c>
      <c r="AL389" s="90" t="b">
        <v>0</v>
      </c>
      <c r="AM389" s="90">
        <v>0</v>
      </c>
      <c r="AN389" s="97" t="s">
        <v>1338</v>
      </c>
      <c r="AO389" s="97" t="s">
        <v>1450</v>
      </c>
      <c r="AP389" s="90" t="b">
        <v>0</v>
      </c>
      <c r="AQ389" s="97" t="s">
        <v>1305</v>
      </c>
      <c r="AR389" s="90" t="s">
        <v>187</v>
      </c>
      <c r="AS389" s="90">
        <v>0</v>
      </c>
      <c r="AT389" s="90">
        <v>0</v>
      </c>
      <c r="AU389" s="90"/>
      <c r="AV389" s="90"/>
      <c r="AW389" s="90"/>
      <c r="AX389" s="90"/>
      <c r="AY389" s="90"/>
      <c r="AZ389" s="90"/>
      <c r="BA389" s="90"/>
      <c r="BB389" s="90"/>
      <c r="BC389">
        <v>1</v>
      </c>
      <c r="BD389" s="89" t="str">
        <f>REPLACE(INDEX(GroupVertices[Group],MATCH(Edges[[#This Row],[Vertex 1]],GroupVertices[Vertex],0)),1,1,"")</f>
        <v>6</v>
      </c>
      <c r="BE389" s="89" t="str">
        <f>REPLACE(INDEX(GroupVertices[Group],MATCH(Edges[[#This Row],[Vertex 2]],GroupVertices[Vertex],0)),1,1,"")</f>
        <v>1</v>
      </c>
      <c r="BF389" s="49"/>
      <c r="BG389" s="50"/>
      <c r="BH389" s="49"/>
      <c r="BI389" s="50"/>
      <c r="BJ389" s="49"/>
      <c r="BK389" s="50"/>
      <c r="BL389" s="49"/>
      <c r="BM389" s="50"/>
      <c r="BN389" s="49"/>
    </row>
    <row r="390" spans="1:66" ht="15">
      <c r="A390" s="65" t="s">
        <v>341</v>
      </c>
      <c r="B390" s="65" t="s">
        <v>489</v>
      </c>
      <c r="C390" s="66" t="s">
        <v>5817</v>
      </c>
      <c r="D390" s="67">
        <v>1</v>
      </c>
      <c r="E390" s="68" t="s">
        <v>132</v>
      </c>
      <c r="F390" s="69">
        <v>32</v>
      </c>
      <c r="G390" s="66" t="s">
        <v>51</v>
      </c>
      <c r="H390" s="70"/>
      <c r="I390" s="71"/>
      <c r="J390" s="71"/>
      <c r="K390" s="35" t="s">
        <v>65</v>
      </c>
      <c r="L390" s="79">
        <v>390</v>
      </c>
      <c r="M390" s="79"/>
      <c r="N390" s="73"/>
      <c r="O390" s="90" t="s">
        <v>523</v>
      </c>
      <c r="P390" s="93">
        <v>44526.44615740741</v>
      </c>
      <c r="Q390" s="90" t="s">
        <v>648</v>
      </c>
      <c r="R390" s="90"/>
      <c r="S390" s="90"/>
      <c r="T390" s="97" t="s">
        <v>717</v>
      </c>
      <c r="U390" s="90"/>
      <c r="V390" s="96" t="str">
        <f>HYPERLINK("https://pbs.twimg.com/profile_images/1197521413386715136/KE0H-A_T_normal.jpg")</f>
        <v>https://pbs.twimg.com/profile_images/1197521413386715136/KE0H-A_T_normal.jpg</v>
      </c>
      <c r="W390" s="93">
        <v>44526.44615740741</v>
      </c>
      <c r="X390" s="100">
        <v>44526</v>
      </c>
      <c r="Y390" s="97" t="s">
        <v>893</v>
      </c>
      <c r="Z390" s="96" t="str">
        <f>HYPERLINK("https://twitter.com/makrikali/status/1464182764740263951")</f>
        <v>https://twitter.com/makrikali/status/1464182764740263951</v>
      </c>
      <c r="AA390" s="90"/>
      <c r="AB390" s="90"/>
      <c r="AC390" s="97" t="s">
        <v>1145</v>
      </c>
      <c r="AD390" s="97" t="s">
        <v>1305</v>
      </c>
      <c r="AE390" s="90" t="b">
        <v>0</v>
      </c>
      <c r="AF390" s="90">
        <v>0</v>
      </c>
      <c r="AG390" s="97" t="s">
        <v>1415</v>
      </c>
      <c r="AH390" s="90" t="b">
        <v>0</v>
      </c>
      <c r="AI390" s="90" t="s">
        <v>1442</v>
      </c>
      <c r="AJ390" s="90"/>
      <c r="AK390" s="97" t="s">
        <v>1338</v>
      </c>
      <c r="AL390" s="90" t="b">
        <v>0</v>
      </c>
      <c r="AM390" s="90">
        <v>0</v>
      </c>
      <c r="AN390" s="97" t="s">
        <v>1338</v>
      </c>
      <c r="AO390" s="97" t="s">
        <v>1450</v>
      </c>
      <c r="AP390" s="90" t="b">
        <v>0</v>
      </c>
      <c r="AQ390" s="97" t="s">
        <v>1305</v>
      </c>
      <c r="AR390" s="90" t="s">
        <v>187</v>
      </c>
      <c r="AS390" s="90">
        <v>0</v>
      </c>
      <c r="AT390" s="90">
        <v>0</v>
      </c>
      <c r="AU390" s="90"/>
      <c r="AV390" s="90"/>
      <c r="AW390" s="90"/>
      <c r="AX390" s="90"/>
      <c r="AY390" s="90"/>
      <c r="AZ390" s="90"/>
      <c r="BA390" s="90"/>
      <c r="BB390" s="90"/>
      <c r="BC390">
        <v>1</v>
      </c>
      <c r="BD390" s="89" t="str">
        <f>REPLACE(INDEX(GroupVertices[Group],MATCH(Edges[[#This Row],[Vertex 1]],GroupVertices[Vertex],0)),1,1,"")</f>
        <v>6</v>
      </c>
      <c r="BE390" s="89" t="str">
        <f>REPLACE(INDEX(GroupVertices[Group],MATCH(Edges[[#This Row],[Vertex 2]],GroupVertices[Vertex],0)),1,1,"")</f>
        <v>6</v>
      </c>
      <c r="BF390" s="49">
        <v>0</v>
      </c>
      <c r="BG390" s="50">
        <v>0</v>
      </c>
      <c r="BH390" s="49">
        <v>0</v>
      </c>
      <c r="BI390" s="50">
        <v>0</v>
      </c>
      <c r="BJ390" s="49">
        <v>0</v>
      </c>
      <c r="BK390" s="50">
        <v>0</v>
      </c>
      <c r="BL390" s="49">
        <v>30</v>
      </c>
      <c r="BM390" s="50">
        <v>100</v>
      </c>
      <c r="BN390" s="49">
        <v>30</v>
      </c>
    </row>
    <row r="391" spans="1:66" ht="15">
      <c r="A391" s="65" t="s">
        <v>341</v>
      </c>
      <c r="B391" s="65" t="s">
        <v>490</v>
      </c>
      <c r="C391" s="66" t="s">
        <v>5817</v>
      </c>
      <c r="D391" s="67">
        <v>1</v>
      </c>
      <c r="E391" s="68" t="s">
        <v>132</v>
      </c>
      <c r="F391" s="69">
        <v>32</v>
      </c>
      <c r="G391" s="66" t="s">
        <v>51</v>
      </c>
      <c r="H391" s="70"/>
      <c r="I391" s="71"/>
      <c r="J391" s="71"/>
      <c r="K391" s="35" t="s">
        <v>65</v>
      </c>
      <c r="L391" s="79">
        <v>391</v>
      </c>
      <c r="M391" s="79"/>
      <c r="N391" s="73"/>
      <c r="O391" s="90" t="s">
        <v>523</v>
      </c>
      <c r="P391" s="93">
        <v>44530.57010416667</v>
      </c>
      <c r="Q391" s="90" t="s">
        <v>649</v>
      </c>
      <c r="R391" s="90"/>
      <c r="S391" s="90"/>
      <c r="T391" s="90"/>
      <c r="U391" s="90"/>
      <c r="V391" s="96" t="str">
        <f>HYPERLINK("https://pbs.twimg.com/profile_images/1197521413386715136/KE0H-A_T_normal.jpg")</f>
        <v>https://pbs.twimg.com/profile_images/1197521413386715136/KE0H-A_T_normal.jpg</v>
      </c>
      <c r="W391" s="93">
        <v>44530.57010416667</v>
      </c>
      <c r="X391" s="100">
        <v>44530</v>
      </c>
      <c r="Y391" s="97" t="s">
        <v>894</v>
      </c>
      <c r="Z391" s="96" t="str">
        <f>HYPERLINK("https://twitter.com/makrikali/status/1465677229581602826")</f>
        <v>https://twitter.com/makrikali/status/1465677229581602826</v>
      </c>
      <c r="AA391" s="90"/>
      <c r="AB391" s="90"/>
      <c r="AC391" s="97" t="s">
        <v>1146</v>
      </c>
      <c r="AD391" s="97" t="s">
        <v>1306</v>
      </c>
      <c r="AE391" s="90" t="b">
        <v>0</v>
      </c>
      <c r="AF391" s="90">
        <v>1</v>
      </c>
      <c r="AG391" s="97" t="s">
        <v>1416</v>
      </c>
      <c r="AH391" s="90" t="b">
        <v>0</v>
      </c>
      <c r="AI391" s="90" t="s">
        <v>1442</v>
      </c>
      <c r="AJ391" s="90"/>
      <c r="AK391" s="97" t="s">
        <v>1338</v>
      </c>
      <c r="AL391" s="90" t="b">
        <v>0</v>
      </c>
      <c r="AM391" s="90">
        <v>0</v>
      </c>
      <c r="AN391" s="97" t="s">
        <v>1338</v>
      </c>
      <c r="AO391" s="97" t="s">
        <v>1450</v>
      </c>
      <c r="AP391" s="90" t="b">
        <v>0</v>
      </c>
      <c r="AQ391" s="97" t="s">
        <v>1306</v>
      </c>
      <c r="AR391" s="90" t="s">
        <v>187</v>
      </c>
      <c r="AS391" s="90">
        <v>0</v>
      </c>
      <c r="AT391" s="90">
        <v>0</v>
      </c>
      <c r="AU391" s="90"/>
      <c r="AV391" s="90"/>
      <c r="AW391" s="90"/>
      <c r="AX391" s="90"/>
      <c r="AY391" s="90"/>
      <c r="AZ391" s="90"/>
      <c r="BA391" s="90"/>
      <c r="BB391" s="90"/>
      <c r="BC391">
        <v>1</v>
      </c>
      <c r="BD391" s="89" t="str">
        <f>REPLACE(INDEX(GroupVertices[Group],MATCH(Edges[[#This Row],[Vertex 1]],GroupVertices[Vertex],0)),1,1,"")</f>
        <v>6</v>
      </c>
      <c r="BE391" s="89" t="str">
        <f>REPLACE(INDEX(GroupVertices[Group],MATCH(Edges[[#This Row],[Vertex 2]],GroupVertices[Vertex],0)),1,1,"")</f>
        <v>6</v>
      </c>
      <c r="BF391" s="49"/>
      <c r="BG391" s="50"/>
      <c r="BH391" s="49"/>
      <c r="BI391" s="50"/>
      <c r="BJ391" s="49"/>
      <c r="BK391" s="50"/>
      <c r="BL391" s="49"/>
      <c r="BM391" s="50"/>
      <c r="BN391" s="49"/>
    </row>
    <row r="392" spans="1:66" ht="15">
      <c r="A392" s="65" t="s">
        <v>341</v>
      </c>
      <c r="B392" s="65" t="s">
        <v>491</v>
      </c>
      <c r="C392" s="66" t="s">
        <v>5817</v>
      </c>
      <c r="D392" s="67">
        <v>1</v>
      </c>
      <c r="E392" s="68" t="s">
        <v>132</v>
      </c>
      <c r="F392" s="69">
        <v>32</v>
      </c>
      <c r="G392" s="66" t="s">
        <v>51</v>
      </c>
      <c r="H392" s="70"/>
      <c r="I392" s="71"/>
      <c r="J392" s="71"/>
      <c r="K392" s="35" t="s">
        <v>65</v>
      </c>
      <c r="L392" s="79">
        <v>392</v>
      </c>
      <c r="M392" s="79"/>
      <c r="N392" s="73"/>
      <c r="O392" s="90" t="s">
        <v>524</v>
      </c>
      <c r="P392" s="93">
        <v>44532.46045138889</v>
      </c>
      <c r="Q392" s="90" t="s">
        <v>650</v>
      </c>
      <c r="R392" s="90"/>
      <c r="S392" s="90"/>
      <c r="T392" s="90"/>
      <c r="U392" s="90"/>
      <c r="V392" s="96" t="str">
        <f>HYPERLINK("https://pbs.twimg.com/profile_images/1197521413386715136/KE0H-A_T_normal.jpg")</f>
        <v>https://pbs.twimg.com/profile_images/1197521413386715136/KE0H-A_T_normal.jpg</v>
      </c>
      <c r="W392" s="93">
        <v>44532.46045138889</v>
      </c>
      <c r="X392" s="100">
        <v>44532</v>
      </c>
      <c r="Y392" s="97" t="s">
        <v>895</v>
      </c>
      <c r="Z392" s="96" t="str">
        <f>HYPERLINK("https://twitter.com/makrikali/status/1466362267964956675")</f>
        <v>https://twitter.com/makrikali/status/1466362267964956675</v>
      </c>
      <c r="AA392" s="90"/>
      <c r="AB392" s="90"/>
      <c r="AC392" s="97" t="s">
        <v>1147</v>
      </c>
      <c r="AD392" s="97" t="s">
        <v>1307</v>
      </c>
      <c r="AE392" s="90" t="b">
        <v>0</v>
      </c>
      <c r="AF392" s="90">
        <v>0</v>
      </c>
      <c r="AG392" s="97" t="s">
        <v>1417</v>
      </c>
      <c r="AH392" s="90" t="b">
        <v>0</v>
      </c>
      <c r="AI392" s="90" t="s">
        <v>1442</v>
      </c>
      <c r="AJ392" s="90"/>
      <c r="AK392" s="97" t="s">
        <v>1338</v>
      </c>
      <c r="AL392" s="90" t="b">
        <v>0</v>
      </c>
      <c r="AM392" s="90">
        <v>0</v>
      </c>
      <c r="AN392" s="97" t="s">
        <v>1338</v>
      </c>
      <c r="AO392" s="97" t="s">
        <v>1450</v>
      </c>
      <c r="AP392" s="90" t="b">
        <v>0</v>
      </c>
      <c r="AQ392" s="97" t="s">
        <v>1307</v>
      </c>
      <c r="AR392" s="90" t="s">
        <v>187</v>
      </c>
      <c r="AS392" s="90">
        <v>0</v>
      </c>
      <c r="AT392" s="90">
        <v>0</v>
      </c>
      <c r="AU392" s="90"/>
      <c r="AV392" s="90"/>
      <c r="AW392" s="90"/>
      <c r="AX392" s="90"/>
      <c r="AY392" s="90"/>
      <c r="AZ392" s="90"/>
      <c r="BA392" s="90"/>
      <c r="BB392" s="90"/>
      <c r="BC392">
        <v>1</v>
      </c>
      <c r="BD392" s="89" t="str">
        <f>REPLACE(INDEX(GroupVertices[Group],MATCH(Edges[[#This Row],[Vertex 1]],GroupVertices[Vertex],0)),1,1,"")</f>
        <v>6</v>
      </c>
      <c r="BE392" s="89" t="str">
        <f>REPLACE(INDEX(GroupVertices[Group],MATCH(Edges[[#This Row],[Vertex 2]],GroupVertices[Vertex],0)),1,1,"")</f>
        <v>6</v>
      </c>
      <c r="BF392" s="49"/>
      <c r="BG392" s="50"/>
      <c r="BH392" s="49"/>
      <c r="BI392" s="50"/>
      <c r="BJ392" s="49"/>
      <c r="BK392" s="50"/>
      <c r="BL392" s="49"/>
      <c r="BM392" s="50"/>
      <c r="BN392" s="49"/>
    </row>
    <row r="393" spans="1:66" ht="15">
      <c r="A393" s="65" t="s">
        <v>341</v>
      </c>
      <c r="B393" s="65" t="s">
        <v>492</v>
      </c>
      <c r="C393" s="66" t="s">
        <v>5817</v>
      </c>
      <c r="D393" s="67">
        <v>1</v>
      </c>
      <c r="E393" s="68" t="s">
        <v>132</v>
      </c>
      <c r="F393" s="69">
        <v>32</v>
      </c>
      <c r="G393" s="66" t="s">
        <v>51</v>
      </c>
      <c r="H393" s="70"/>
      <c r="I393" s="71"/>
      <c r="J393" s="71"/>
      <c r="K393" s="35" t="s">
        <v>65</v>
      </c>
      <c r="L393" s="79">
        <v>393</v>
      </c>
      <c r="M393" s="79"/>
      <c r="N393" s="73"/>
      <c r="O393" s="90" t="s">
        <v>524</v>
      </c>
      <c r="P393" s="93">
        <v>44532.46045138889</v>
      </c>
      <c r="Q393" s="90" t="s">
        <v>650</v>
      </c>
      <c r="R393" s="90"/>
      <c r="S393" s="90"/>
      <c r="T393" s="90"/>
      <c r="U393" s="90"/>
      <c r="V393" s="96" t="str">
        <f>HYPERLINK("https://pbs.twimg.com/profile_images/1197521413386715136/KE0H-A_T_normal.jpg")</f>
        <v>https://pbs.twimg.com/profile_images/1197521413386715136/KE0H-A_T_normal.jpg</v>
      </c>
      <c r="W393" s="93">
        <v>44532.46045138889</v>
      </c>
      <c r="X393" s="100">
        <v>44532</v>
      </c>
      <c r="Y393" s="97" t="s">
        <v>895</v>
      </c>
      <c r="Z393" s="96" t="str">
        <f>HYPERLINK("https://twitter.com/makrikali/status/1466362267964956675")</f>
        <v>https://twitter.com/makrikali/status/1466362267964956675</v>
      </c>
      <c r="AA393" s="90"/>
      <c r="AB393" s="90"/>
      <c r="AC393" s="97" t="s">
        <v>1147</v>
      </c>
      <c r="AD393" s="97" t="s">
        <v>1307</v>
      </c>
      <c r="AE393" s="90" t="b">
        <v>0</v>
      </c>
      <c r="AF393" s="90">
        <v>0</v>
      </c>
      <c r="AG393" s="97" t="s">
        <v>1417</v>
      </c>
      <c r="AH393" s="90" t="b">
        <v>0</v>
      </c>
      <c r="AI393" s="90" t="s">
        <v>1442</v>
      </c>
      <c r="AJ393" s="90"/>
      <c r="AK393" s="97" t="s">
        <v>1338</v>
      </c>
      <c r="AL393" s="90" t="b">
        <v>0</v>
      </c>
      <c r="AM393" s="90">
        <v>0</v>
      </c>
      <c r="AN393" s="97" t="s">
        <v>1338</v>
      </c>
      <c r="AO393" s="97" t="s">
        <v>1450</v>
      </c>
      <c r="AP393" s="90" t="b">
        <v>0</v>
      </c>
      <c r="AQ393" s="97" t="s">
        <v>1307</v>
      </c>
      <c r="AR393" s="90" t="s">
        <v>187</v>
      </c>
      <c r="AS393" s="90">
        <v>0</v>
      </c>
      <c r="AT393" s="90">
        <v>0</v>
      </c>
      <c r="AU393" s="90"/>
      <c r="AV393" s="90"/>
      <c r="AW393" s="90"/>
      <c r="AX393" s="90"/>
      <c r="AY393" s="90"/>
      <c r="AZ393" s="90"/>
      <c r="BA393" s="90"/>
      <c r="BB393" s="90"/>
      <c r="BC393">
        <v>1</v>
      </c>
      <c r="BD393" s="89" t="str">
        <f>REPLACE(INDEX(GroupVertices[Group],MATCH(Edges[[#This Row],[Vertex 1]],GroupVertices[Vertex],0)),1,1,"")</f>
        <v>6</v>
      </c>
      <c r="BE393" s="89" t="str">
        <f>REPLACE(INDEX(GroupVertices[Group],MATCH(Edges[[#This Row],[Vertex 2]],GroupVertices[Vertex],0)),1,1,"")</f>
        <v>6</v>
      </c>
      <c r="BF393" s="49"/>
      <c r="BG393" s="50"/>
      <c r="BH393" s="49"/>
      <c r="BI393" s="50"/>
      <c r="BJ393" s="49"/>
      <c r="BK393" s="50"/>
      <c r="BL393" s="49"/>
      <c r="BM393" s="50"/>
      <c r="BN393" s="49"/>
    </row>
    <row r="394" spans="1:66" ht="15">
      <c r="A394" s="65" t="s">
        <v>341</v>
      </c>
      <c r="B394" s="65" t="s">
        <v>493</v>
      </c>
      <c r="C394" s="66" t="s">
        <v>5817</v>
      </c>
      <c r="D394" s="67">
        <v>1</v>
      </c>
      <c r="E394" s="68" t="s">
        <v>132</v>
      </c>
      <c r="F394" s="69">
        <v>32</v>
      </c>
      <c r="G394" s="66" t="s">
        <v>51</v>
      </c>
      <c r="H394" s="70"/>
      <c r="I394" s="71"/>
      <c r="J394" s="71"/>
      <c r="K394" s="35" t="s">
        <v>65</v>
      </c>
      <c r="L394" s="79">
        <v>394</v>
      </c>
      <c r="M394" s="79"/>
      <c r="N394" s="73"/>
      <c r="O394" s="90" t="s">
        <v>523</v>
      </c>
      <c r="P394" s="93">
        <v>44532.46045138889</v>
      </c>
      <c r="Q394" s="90" t="s">
        <v>650</v>
      </c>
      <c r="R394" s="90"/>
      <c r="S394" s="90"/>
      <c r="T394" s="90"/>
      <c r="U394" s="90"/>
      <c r="V394" s="96" t="str">
        <f>HYPERLINK("https://pbs.twimg.com/profile_images/1197521413386715136/KE0H-A_T_normal.jpg")</f>
        <v>https://pbs.twimg.com/profile_images/1197521413386715136/KE0H-A_T_normal.jpg</v>
      </c>
      <c r="W394" s="93">
        <v>44532.46045138889</v>
      </c>
      <c r="X394" s="100">
        <v>44532</v>
      </c>
      <c r="Y394" s="97" t="s">
        <v>895</v>
      </c>
      <c r="Z394" s="96" t="str">
        <f>HYPERLINK("https://twitter.com/makrikali/status/1466362267964956675")</f>
        <v>https://twitter.com/makrikali/status/1466362267964956675</v>
      </c>
      <c r="AA394" s="90"/>
      <c r="AB394" s="90"/>
      <c r="AC394" s="97" t="s">
        <v>1147</v>
      </c>
      <c r="AD394" s="97" t="s">
        <v>1307</v>
      </c>
      <c r="AE394" s="90" t="b">
        <v>0</v>
      </c>
      <c r="AF394" s="90">
        <v>0</v>
      </c>
      <c r="AG394" s="97" t="s">
        <v>1417</v>
      </c>
      <c r="AH394" s="90" t="b">
        <v>0</v>
      </c>
      <c r="AI394" s="90" t="s">
        <v>1442</v>
      </c>
      <c r="AJ394" s="90"/>
      <c r="AK394" s="97" t="s">
        <v>1338</v>
      </c>
      <c r="AL394" s="90" t="b">
        <v>0</v>
      </c>
      <c r="AM394" s="90">
        <v>0</v>
      </c>
      <c r="AN394" s="97" t="s">
        <v>1338</v>
      </c>
      <c r="AO394" s="97" t="s">
        <v>1450</v>
      </c>
      <c r="AP394" s="90" t="b">
        <v>0</v>
      </c>
      <c r="AQ394" s="97" t="s">
        <v>1307</v>
      </c>
      <c r="AR394" s="90" t="s">
        <v>187</v>
      </c>
      <c r="AS394" s="90">
        <v>0</v>
      </c>
      <c r="AT394" s="90">
        <v>0</v>
      </c>
      <c r="AU394" s="90"/>
      <c r="AV394" s="90"/>
      <c r="AW394" s="90"/>
      <c r="AX394" s="90"/>
      <c r="AY394" s="90"/>
      <c r="AZ394" s="90"/>
      <c r="BA394" s="90"/>
      <c r="BB394" s="90"/>
      <c r="BC394">
        <v>1</v>
      </c>
      <c r="BD394" s="89" t="str">
        <f>REPLACE(INDEX(GroupVertices[Group],MATCH(Edges[[#This Row],[Vertex 1]],GroupVertices[Vertex],0)),1,1,"")</f>
        <v>6</v>
      </c>
      <c r="BE394" s="89" t="str">
        <f>REPLACE(INDEX(GroupVertices[Group],MATCH(Edges[[#This Row],[Vertex 2]],GroupVertices[Vertex],0)),1,1,"")</f>
        <v>6</v>
      </c>
      <c r="BF394" s="49">
        <v>0</v>
      </c>
      <c r="BG394" s="50">
        <v>0</v>
      </c>
      <c r="BH394" s="49">
        <v>0</v>
      </c>
      <c r="BI394" s="50">
        <v>0</v>
      </c>
      <c r="BJ394" s="49">
        <v>0</v>
      </c>
      <c r="BK394" s="50">
        <v>0</v>
      </c>
      <c r="BL394" s="49">
        <v>35</v>
      </c>
      <c r="BM394" s="50">
        <v>100</v>
      </c>
      <c r="BN394" s="49">
        <v>35</v>
      </c>
    </row>
    <row r="395" spans="1:66" ht="15">
      <c r="A395" s="65" t="s">
        <v>341</v>
      </c>
      <c r="B395" s="65" t="s">
        <v>450</v>
      </c>
      <c r="C395" s="66" t="s">
        <v>5818</v>
      </c>
      <c r="D395" s="67">
        <v>1</v>
      </c>
      <c r="E395" s="68" t="s">
        <v>132</v>
      </c>
      <c r="F395" s="69">
        <v>32</v>
      </c>
      <c r="G395" s="66" t="s">
        <v>51</v>
      </c>
      <c r="H395" s="70"/>
      <c r="I395" s="71"/>
      <c r="J395" s="71"/>
      <c r="K395" s="35" t="s">
        <v>65</v>
      </c>
      <c r="L395" s="79">
        <v>395</v>
      </c>
      <c r="M395" s="79"/>
      <c r="N395" s="73"/>
      <c r="O395" s="90" t="s">
        <v>524</v>
      </c>
      <c r="P395" s="93">
        <v>44525.62165509259</v>
      </c>
      <c r="Q395" s="90" t="s">
        <v>647</v>
      </c>
      <c r="R395" s="90"/>
      <c r="S395" s="90"/>
      <c r="T395" s="90"/>
      <c r="U395" s="90"/>
      <c r="V395" s="96" t="str">
        <f>HYPERLINK("https://pbs.twimg.com/profile_images/1197521413386715136/KE0H-A_T_normal.jpg")</f>
        <v>https://pbs.twimg.com/profile_images/1197521413386715136/KE0H-A_T_normal.jpg</v>
      </c>
      <c r="W395" s="93">
        <v>44525.62165509259</v>
      </c>
      <c r="X395" s="100">
        <v>44525</v>
      </c>
      <c r="Y395" s="97" t="s">
        <v>891</v>
      </c>
      <c r="Z395" s="96" t="str">
        <f>HYPERLINK("https://twitter.com/makrikali/status/1463883974435086336")</f>
        <v>https://twitter.com/makrikali/status/1463883974435086336</v>
      </c>
      <c r="AA395" s="90"/>
      <c r="AB395" s="90"/>
      <c r="AC395" s="97" t="s">
        <v>1143</v>
      </c>
      <c r="AD395" s="97" t="s">
        <v>1304</v>
      </c>
      <c r="AE395" s="90" t="b">
        <v>0</v>
      </c>
      <c r="AF395" s="90">
        <v>2</v>
      </c>
      <c r="AG395" s="97" t="s">
        <v>1414</v>
      </c>
      <c r="AH395" s="90" t="b">
        <v>0</v>
      </c>
      <c r="AI395" s="90" t="s">
        <v>1442</v>
      </c>
      <c r="AJ395" s="90"/>
      <c r="AK395" s="97" t="s">
        <v>1338</v>
      </c>
      <c r="AL395" s="90" t="b">
        <v>0</v>
      </c>
      <c r="AM395" s="90">
        <v>0</v>
      </c>
      <c r="AN395" s="97" t="s">
        <v>1338</v>
      </c>
      <c r="AO395" s="97" t="s">
        <v>1450</v>
      </c>
      <c r="AP395" s="90" t="b">
        <v>0</v>
      </c>
      <c r="AQ395" s="97" t="s">
        <v>1304</v>
      </c>
      <c r="AR395" s="90" t="s">
        <v>187</v>
      </c>
      <c r="AS395" s="90">
        <v>0</v>
      </c>
      <c r="AT395" s="90">
        <v>0</v>
      </c>
      <c r="AU395" s="90"/>
      <c r="AV395" s="90"/>
      <c r="AW395" s="90"/>
      <c r="AX395" s="90"/>
      <c r="AY395" s="90"/>
      <c r="AZ395" s="90"/>
      <c r="BA395" s="90"/>
      <c r="BB395" s="90"/>
      <c r="BC395">
        <v>2</v>
      </c>
      <c r="BD395" s="89" t="str">
        <f>REPLACE(INDEX(GroupVertices[Group],MATCH(Edges[[#This Row],[Vertex 1]],GroupVertices[Vertex],0)),1,1,"")</f>
        <v>6</v>
      </c>
      <c r="BE395" s="89" t="str">
        <f>REPLACE(INDEX(GroupVertices[Group],MATCH(Edges[[#This Row],[Vertex 2]],GroupVertices[Vertex],0)),1,1,"")</f>
        <v>3</v>
      </c>
      <c r="BF395" s="49"/>
      <c r="BG395" s="50"/>
      <c r="BH395" s="49"/>
      <c r="BI395" s="50"/>
      <c r="BJ395" s="49"/>
      <c r="BK395" s="50"/>
      <c r="BL395" s="49"/>
      <c r="BM395" s="50"/>
      <c r="BN395" s="49"/>
    </row>
    <row r="396" spans="1:66" ht="15">
      <c r="A396" s="65" t="s">
        <v>341</v>
      </c>
      <c r="B396" s="65" t="s">
        <v>450</v>
      </c>
      <c r="C396" s="66" t="s">
        <v>5818</v>
      </c>
      <c r="D396" s="67">
        <v>1</v>
      </c>
      <c r="E396" s="68" t="s">
        <v>132</v>
      </c>
      <c r="F396" s="69">
        <v>32</v>
      </c>
      <c r="G396" s="66" t="s">
        <v>51</v>
      </c>
      <c r="H396" s="70"/>
      <c r="I396" s="71"/>
      <c r="J396" s="71"/>
      <c r="K396" s="35" t="s">
        <v>65</v>
      </c>
      <c r="L396" s="79">
        <v>396</v>
      </c>
      <c r="M396" s="79"/>
      <c r="N396" s="73"/>
      <c r="O396" s="90" t="s">
        <v>524</v>
      </c>
      <c r="P396" s="93">
        <v>44526.44615740741</v>
      </c>
      <c r="Q396" s="90" t="s">
        <v>648</v>
      </c>
      <c r="R396" s="90"/>
      <c r="S396" s="90"/>
      <c r="T396" s="97" t="s">
        <v>717</v>
      </c>
      <c r="U396" s="90"/>
      <c r="V396" s="96" t="str">
        <f>HYPERLINK("https://pbs.twimg.com/profile_images/1197521413386715136/KE0H-A_T_normal.jpg")</f>
        <v>https://pbs.twimg.com/profile_images/1197521413386715136/KE0H-A_T_normal.jpg</v>
      </c>
      <c r="W396" s="93">
        <v>44526.44615740741</v>
      </c>
      <c r="X396" s="100">
        <v>44526</v>
      </c>
      <c r="Y396" s="97" t="s">
        <v>893</v>
      </c>
      <c r="Z396" s="96" t="str">
        <f>HYPERLINK("https://twitter.com/makrikali/status/1464182764740263951")</f>
        <v>https://twitter.com/makrikali/status/1464182764740263951</v>
      </c>
      <c r="AA396" s="90"/>
      <c r="AB396" s="90"/>
      <c r="AC396" s="97" t="s">
        <v>1145</v>
      </c>
      <c r="AD396" s="97" t="s">
        <v>1305</v>
      </c>
      <c r="AE396" s="90" t="b">
        <v>0</v>
      </c>
      <c r="AF396" s="90">
        <v>0</v>
      </c>
      <c r="AG396" s="97" t="s">
        <v>1415</v>
      </c>
      <c r="AH396" s="90" t="b">
        <v>0</v>
      </c>
      <c r="AI396" s="90" t="s">
        <v>1442</v>
      </c>
      <c r="AJ396" s="90"/>
      <c r="AK396" s="97" t="s">
        <v>1338</v>
      </c>
      <c r="AL396" s="90" t="b">
        <v>0</v>
      </c>
      <c r="AM396" s="90">
        <v>0</v>
      </c>
      <c r="AN396" s="97" t="s">
        <v>1338</v>
      </c>
      <c r="AO396" s="97" t="s">
        <v>1450</v>
      </c>
      <c r="AP396" s="90" t="b">
        <v>0</v>
      </c>
      <c r="AQ396" s="97" t="s">
        <v>1305</v>
      </c>
      <c r="AR396" s="90" t="s">
        <v>187</v>
      </c>
      <c r="AS396" s="90">
        <v>0</v>
      </c>
      <c r="AT396" s="90">
        <v>0</v>
      </c>
      <c r="AU396" s="90"/>
      <c r="AV396" s="90"/>
      <c r="AW396" s="90"/>
      <c r="AX396" s="90"/>
      <c r="AY396" s="90"/>
      <c r="AZ396" s="90"/>
      <c r="BA396" s="90"/>
      <c r="BB396" s="90"/>
      <c r="BC396">
        <v>2</v>
      </c>
      <c r="BD396" s="89" t="str">
        <f>REPLACE(INDEX(GroupVertices[Group],MATCH(Edges[[#This Row],[Vertex 1]],GroupVertices[Vertex],0)),1,1,"")</f>
        <v>6</v>
      </c>
      <c r="BE396" s="89" t="str">
        <f>REPLACE(INDEX(GroupVertices[Group],MATCH(Edges[[#This Row],[Vertex 2]],GroupVertices[Vertex],0)),1,1,"")</f>
        <v>3</v>
      </c>
      <c r="BF396" s="49"/>
      <c r="BG396" s="50"/>
      <c r="BH396" s="49"/>
      <c r="BI396" s="50"/>
      <c r="BJ396" s="49"/>
      <c r="BK396" s="50"/>
      <c r="BL396" s="49"/>
      <c r="BM396" s="50"/>
      <c r="BN396" s="49"/>
    </row>
    <row r="397" spans="1:66" ht="15">
      <c r="A397" s="65" t="s">
        <v>341</v>
      </c>
      <c r="B397" s="65" t="s">
        <v>494</v>
      </c>
      <c r="C397" s="66" t="s">
        <v>5817</v>
      </c>
      <c r="D397" s="67">
        <v>1</v>
      </c>
      <c r="E397" s="68" t="s">
        <v>132</v>
      </c>
      <c r="F397" s="69">
        <v>32</v>
      </c>
      <c r="G397" s="66" t="s">
        <v>51</v>
      </c>
      <c r="H397" s="70"/>
      <c r="I397" s="71"/>
      <c r="J397" s="71"/>
      <c r="K397" s="35" t="s">
        <v>65</v>
      </c>
      <c r="L397" s="79">
        <v>397</v>
      </c>
      <c r="M397" s="79"/>
      <c r="N397" s="73"/>
      <c r="O397" s="90" t="s">
        <v>524</v>
      </c>
      <c r="P397" s="93">
        <v>44530.57010416667</v>
      </c>
      <c r="Q397" s="90" t="s">
        <v>649</v>
      </c>
      <c r="R397" s="90"/>
      <c r="S397" s="90"/>
      <c r="T397" s="90"/>
      <c r="U397" s="90"/>
      <c r="V397" s="96" t="str">
        <f>HYPERLINK("https://pbs.twimg.com/profile_images/1197521413386715136/KE0H-A_T_normal.jpg")</f>
        <v>https://pbs.twimg.com/profile_images/1197521413386715136/KE0H-A_T_normal.jpg</v>
      </c>
      <c r="W397" s="93">
        <v>44530.57010416667</v>
      </c>
      <c r="X397" s="100">
        <v>44530</v>
      </c>
      <c r="Y397" s="97" t="s">
        <v>894</v>
      </c>
      <c r="Z397" s="96" t="str">
        <f>HYPERLINK("https://twitter.com/makrikali/status/1465677229581602826")</f>
        <v>https://twitter.com/makrikali/status/1465677229581602826</v>
      </c>
      <c r="AA397" s="90"/>
      <c r="AB397" s="90"/>
      <c r="AC397" s="97" t="s">
        <v>1146</v>
      </c>
      <c r="AD397" s="97" t="s">
        <v>1306</v>
      </c>
      <c r="AE397" s="90" t="b">
        <v>0</v>
      </c>
      <c r="AF397" s="90">
        <v>1</v>
      </c>
      <c r="AG397" s="97" t="s">
        <v>1416</v>
      </c>
      <c r="AH397" s="90" t="b">
        <v>0</v>
      </c>
      <c r="AI397" s="90" t="s">
        <v>1442</v>
      </c>
      <c r="AJ397" s="90"/>
      <c r="AK397" s="97" t="s">
        <v>1338</v>
      </c>
      <c r="AL397" s="90" t="b">
        <v>0</v>
      </c>
      <c r="AM397" s="90">
        <v>0</v>
      </c>
      <c r="AN397" s="97" t="s">
        <v>1338</v>
      </c>
      <c r="AO397" s="97" t="s">
        <v>1450</v>
      </c>
      <c r="AP397" s="90" t="b">
        <v>0</v>
      </c>
      <c r="AQ397" s="97" t="s">
        <v>1306</v>
      </c>
      <c r="AR397" s="90" t="s">
        <v>187</v>
      </c>
      <c r="AS397" s="90">
        <v>0</v>
      </c>
      <c r="AT397" s="90">
        <v>0</v>
      </c>
      <c r="AU397" s="90"/>
      <c r="AV397" s="90"/>
      <c r="AW397" s="90"/>
      <c r="AX397" s="90"/>
      <c r="AY397" s="90"/>
      <c r="AZ397" s="90"/>
      <c r="BA397" s="90"/>
      <c r="BB397" s="90"/>
      <c r="BC397">
        <v>1</v>
      </c>
      <c r="BD397" s="89" t="str">
        <f>REPLACE(INDEX(GroupVertices[Group],MATCH(Edges[[#This Row],[Vertex 1]],GroupVertices[Vertex],0)),1,1,"")</f>
        <v>6</v>
      </c>
      <c r="BE397" s="89" t="str">
        <f>REPLACE(INDEX(GroupVertices[Group],MATCH(Edges[[#This Row],[Vertex 2]],GroupVertices[Vertex],0)),1,1,"")</f>
        <v>6</v>
      </c>
      <c r="BF397" s="49">
        <v>0</v>
      </c>
      <c r="BG397" s="50">
        <v>0</v>
      </c>
      <c r="BH397" s="49">
        <v>0</v>
      </c>
      <c r="BI397" s="50">
        <v>0</v>
      </c>
      <c r="BJ397" s="49">
        <v>0</v>
      </c>
      <c r="BK397" s="50">
        <v>0</v>
      </c>
      <c r="BL397" s="49">
        <v>32</v>
      </c>
      <c r="BM397" s="50">
        <v>100</v>
      </c>
      <c r="BN397" s="49">
        <v>32</v>
      </c>
    </row>
    <row r="398" spans="1:66" ht="15">
      <c r="A398" s="65" t="s">
        <v>341</v>
      </c>
      <c r="B398" s="65" t="s">
        <v>385</v>
      </c>
      <c r="C398" s="66" t="s">
        <v>5817</v>
      </c>
      <c r="D398" s="67">
        <v>1</v>
      </c>
      <c r="E398" s="68" t="s">
        <v>132</v>
      </c>
      <c r="F398" s="69">
        <v>32</v>
      </c>
      <c r="G398" s="66" t="s">
        <v>51</v>
      </c>
      <c r="H398" s="70"/>
      <c r="I398" s="71"/>
      <c r="J398" s="71"/>
      <c r="K398" s="35" t="s">
        <v>65</v>
      </c>
      <c r="L398" s="79">
        <v>398</v>
      </c>
      <c r="M398" s="79"/>
      <c r="N398" s="73"/>
      <c r="O398" s="90" t="s">
        <v>524</v>
      </c>
      <c r="P398" s="93">
        <v>44530.57010416667</v>
      </c>
      <c r="Q398" s="90" t="s">
        <v>649</v>
      </c>
      <c r="R398" s="90"/>
      <c r="S398" s="90"/>
      <c r="T398" s="90"/>
      <c r="U398" s="90"/>
      <c r="V398" s="96" t="str">
        <f>HYPERLINK("https://pbs.twimg.com/profile_images/1197521413386715136/KE0H-A_T_normal.jpg")</f>
        <v>https://pbs.twimg.com/profile_images/1197521413386715136/KE0H-A_T_normal.jpg</v>
      </c>
      <c r="W398" s="93">
        <v>44530.57010416667</v>
      </c>
      <c r="X398" s="100">
        <v>44530</v>
      </c>
      <c r="Y398" s="97" t="s">
        <v>894</v>
      </c>
      <c r="Z398" s="96" t="str">
        <f>HYPERLINK("https://twitter.com/makrikali/status/1465677229581602826")</f>
        <v>https://twitter.com/makrikali/status/1465677229581602826</v>
      </c>
      <c r="AA398" s="90"/>
      <c r="AB398" s="90"/>
      <c r="AC398" s="97" t="s">
        <v>1146</v>
      </c>
      <c r="AD398" s="97" t="s">
        <v>1306</v>
      </c>
      <c r="AE398" s="90" t="b">
        <v>0</v>
      </c>
      <c r="AF398" s="90">
        <v>1</v>
      </c>
      <c r="AG398" s="97" t="s">
        <v>1416</v>
      </c>
      <c r="AH398" s="90" t="b">
        <v>0</v>
      </c>
      <c r="AI398" s="90" t="s">
        <v>1442</v>
      </c>
      <c r="AJ398" s="90"/>
      <c r="AK398" s="97" t="s">
        <v>1338</v>
      </c>
      <c r="AL398" s="90" t="b">
        <v>0</v>
      </c>
      <c r="AM398" s="90">
        <v>0</v>
      </c>
      <c r="AN398" s="97" t="s">
        <v>1338</v>
      </c>
      <c r="AO398" s="97" t="s">
        <v>1450</v>
      </c>
      <c r="AP398" s="90" t="b">
        <v>0</v>
      </c>
      <c r="AQ398" s="97" t="s">
        <v>1306</v>
      </c>
      <c r="AR398" s="90" t="s">
        <v>187</v>
      </c>
      <c r="AS398" s="90">
        <v>0</v>
      </c>
      <c r="AT398" s="90">
        <v>0</v>
      </c>
      <c r="AU398" s="90"/>
      <c r="AV398" s="90"/>
      <c r="AW398" s="90"/>
      <c r="AX398" s="90"/>
      <c r="AY398" s="90"/>
      <c r="AZ398" s="90"/>
      <c r="BA398" s="90"/>
      <c r="BB398" s="90"/>
      <c r="BC398">
        <v>1</v>
      </c>
      <c r="BD398" s="89" t="str">
        <f>REPLACE(INDEX(GroupVertices[Group],MATCH(Edges[[#This Row],[Vertex 1]],GroupVertices[Vertex],0)),1,1,"")</f>
        <v>6</v>
      </c>
      <c r="BE398" s="89" t="str">
        <f>REPLACE(INDEX(GroupVertices[Group],MATCH(Edges[[#This Row],[Vertex 2]],GroupVertices[Vertex],0)),1,1,"")</f>
        <v>6</v>
      </c>
      <c r="BF398" s="49"/>
      <c r="BG398" s="50"/>
      <c r="BH398" s="49"/>
      <c r="BI398" s="50"/>
      <c r="BJ398" s="49"/>
      <c r="BK398" s="50"/>
      <c r="BL398" s="49"/>
      <c r="BM398" s="50"/>
      <c r="BN398" s="49"/>
    </row>
    <row r="399" spans="1:66" ht="15">
      <c r="A399" s="65" t="s">
        <v>342</v>
      </c>
      <c r="B399" s="65" t="s">
        <v>367</v>
      </c>
      <c r="C399" s="66" t="s">
        <v>5817</v>
      </c>
      <c r="D399" s="67">
        <v>1</v>
      </c>
      <c r="E399" s="68" t="s">
        <v>132</v>
      </c>
      <c r="F399" s="69">
        <v>32</v>
      </c>
      <c r="G399" s="66" t="s">
        <v>51</v>
      </c>
      <c r="H399" s="70"/>
      <c r="I399" s="71"/>
      <c r="J399" s="71"/>
      <c r="K399" s="35" t="s">
        <v>65</v>
      </c>
      <c r="L399" s="79">
        <v>399</v>
      </c>
      <c r="M399" s="79"/>
      <c r="N399" s="73"/>
      <c r="O399" s="90" t="s">
        <v>522</v>
      </c>
      <c r="P399" s="93">
        <v>44532.47824074074</v>
      </c>
      <c r="Q399" s="90" t="s">
        <v>651</v>
      </c>
      <c r="R399" s="90"/>
      <c r="S399" s="90"/>
      <c r="T399" s="90"/>
      <c r="U399" s="90"/>
      <c r="V399" s="96" t="str">
        <f>HYPERLINK("https://pbs.twimg.com/profile_images/1415947131345674241/zIPfYNc2_normal.jpg")</f>
        <v>https://pbs.twimg.com/profile_images/1415947131345674241/zIPfYNc2_normal.jpg</v>
      </c>
      <c r="W399" s="93">
        <v>44532.47824074074</v>
      </c>
      <c r="X399" s="100">
        <v>44532</v>
      </c>
      <c r="Y399" s="97" t="s">
        <v>896</v>
      </c>
      <c r="Z399" s="96" t="str">
        <f>HYPERLINK("https://twitter.com/artolehikoinen/status/1466368716426420226")</f>
        <v>https://twitter.com/artolehikoinen/status/1466368716426420226</v>
      </c>
      <c r="AA399" s="90"/>
      <c r="AB399" s="90"/>
      <c r="AC399" s="97" t="s">
        <v>1148</v>
      </c>
      <c r="AD399" s="90"/>
      <c r="AE399" s="90" t="b">
        <v>0</v>
      </c>
      <c r="AF399" s="90">
        <v>0</v>
      </c>
      <c r="AG399" s="97" t="s">
        <v>1338</v>
      </c>
      <c r="AH399" s="90" t="b">
        <v>0</v>
      </c>
      <c r="AI399" s="90" t="s">
        <v>1442</v>
      </c>
      <c r="AJ399" s="90"/>
      <c r="AK399" s="97" t="s">
        <v>1338</v>
      </c>
      <c r="AL399" s="90" t="b">
        <v>0</v>
      </c>
      <c r="AM399" s="90">
        <v>1</v>
      </c>
      <c r="AN399" s="97" t="s">
        <v>1201</v>
      </c>
      <c r="AO399" s="97" t="s">
        <v>1450</v>
      </c>
      <c r="AP399" s="90" t="b">
        <v>0</v>
      </c>
      <c r="AQ399" s="97" t="s">
        <v>1201</v>
      </c>
      <c r="AR399" s="90" t="s">
        <v>187</v>
      </c>
      <c r="AS399" s="90">
        <v>0</v>
      </c>
      <c r="AT399" s="90">
        <v>0</v>
      </c>
      <c r="AU399" s="90"/>
      <c r="AV399" s="90"/>
      <c r="AW399" s="90"/>
      <c r="AX399" s="90"/>
      <c r="AY399" s="90"/>
      <c r="AZ399" s="90"/>
      <c r="BA399" s="90"/>
      <c r="BB399" s="90"/>
      <c r="BC399">
        <v>1</v>
      </c>
      <c r="BD399" s="89" t="str">
        <f>REPLACE(INDEX(GroupVertices[Group],MATCH(Edges[[#This Row],[Vertex 1]],GroupVertices[Vertex],0)),1,1,"")</f>
        <v>3</v>
      </c>
      <c r="BE399" s="89" t="str">
        <f>REPLACE(INDEX(GroupVertices[Group],MATCH(Edges[[#This Row],[Vertex 2]],GroupVertices[Vertex],0)),1,1,"")</f>
        <v>3</v>
      </c>
      <c r="BF399" s="49"/>
      <c r="BG399" s="50"/>
      <c r="BH399" s="49"/>
      <c r="BI399" s="50"/>
      <c r="BJ399" s="49"/>
      <c r="BK399" s="50"/>
      <c r="BL399" s="49"/>
      <c r="BM399" s="50"/>
      <c r="BN399" s="49"/>
    </row>
    <row r="400" spans="1:66" ht="15">
      <c r="A400" s="65" t="s">
        <v>342</v>
      </c>
      <c r="B400" s="65" t="s">
        <v>448</v>
      </c>
      <c r="C400" s="66" t="s">
        <v>5817</v>
      </c>
      <c r="D400" s="67">
        <v>1</v>
      </c>
      <c r="E400" s="68" t="s">
        <v>132</v>
      </c>
      <c r="F400" s="69">
        <v>32</v>
      </c>
      <c r="G400" s="66" t="s">
        <v>51</v>
      </c>
      <c r="H400" s="70"/>
      <c r="I400" s="71"/>
      <c r="J400" s="71"/>
      <c r="K400" s="35" t="s">
        <v>65</v>
      </c>
      <c r="L400" s="79">
        <v>400</v>
      </c>
      <c r="M400" s="79"/>
      <c r="N400" s="73"/>
      <c r="O400" s="90" t="s">
        <v>523</v>
      </c>
      <c r="P400" s="93">
        <v>44532.47824074074</v>
      </c>
      <c r="Q400" s="90" t="s">
        <v>651</v>
      </c>
      <c r="R400" s="90"/>
      <c r="S400" s="90"/>
      <c r="T400" s="90"/>
      <c r="U400" s="90"/>
      <c r="V400" s="96" t="str">
        <f>HYPERLINK("https://pbs.twimg.com/profile_images/1415947131345674241/zIPfYNc2_normal.jpg")</f>
        <v>https://pbs.twimg.com/profile_images/1415947131345674241/zIPfYNc2_normal.jpg</v>
      </c>
      <c r="W400" s="93">
        <v>44532.47824074074</v>
      </c>
      <c r="X400" s="100">
        <v>44532</v>
      </c>
      <c r="Y400" s="97" t="s">
        <v>896</v>
      </c>
      <c r="Z400" s="96" t="str">
        <f>HYPERLINK("https://twitter.com/artolehikoinen/status/1466368716426420226")</f>
        <v>https://twitter.com/artolehikoinen/status/1466368716426420226</v>
      </c>
      <c r="AA400" s="90"/>
      <c r="AB400" s="90"/>
      <c r="AC400" s="97" t="s">
        <v>1148</v>
      </c>
      <c r="AD400" s="90"/>
      <c r="AE400" s="90" t="b">
        <v>0</v>
      </c>
      <c r="AF400" s="90">
        <v>0</v>
      </c>
      <c r="AG400" s="97" t="s">
        <v>1338</v>
      </c>
      <c r="AH400" s="90" t="b">
        <v>0</v>
      </c>
      <c r="AI400" s="90" t="s">
        <v>1442</v>
      </c>
      <c r="AJ400" s="90"/>
      <c r="AK400" s="97" t="s">
        <v>1338</v>
      </c>
      <c r="AL400" s="90" t="b">
        <v>0</v>
      </c>
      <c r="AM400" s="90">
        <v>1</v>
      </c>
      <c r="AN400" s="97" t="s">
        <v>1201</v>
      </c>
      <c r="AO400" s="97" t="s">
        <v>1450</v>
      </c>
      <c r="AP400" s="90" t="b">
        <v>0</v>
      </c>
      <c r="AQ400" s="97" t="s">
        <v>1201</v>
      </c>
      <c r="AR400" s="90" t="s">
        <v>187</v>
      </c>
      <c r="AS400" s="90">
        <v>0</v>
      </c>
      <c r="AT400" s="90">
        <v>0</v>
      </c>
      <c r="AU400" s="90"/>
      <c r="AV400" s="90"/>
      <c r="AW400" s="90"/>
      <c r="AX400" s="90"/>
      <c r="AY400" s="90"/>
      <c r="AZ400" s="90"/>
      <c r="BA400" s="90"/>
      <c r="BB400" s="90"/>
      <c r="BC400">
        <v>1</v>
      </c>
      <c r="BD400" s="89" t="str">
        <f>REPLACE(INDEX(GroupVertices[Group],MATCH(Edges[[#This Row],[Vertex 1]],GroupVertices[Vertex],0)),1,1,"")</f>
        <v>3</v>
      </c>
      <c r="BE400" s="89" t="str">
        <f>REPLACE(INDEX(GroupVertices[Group],MATCH(Edges[[#This Row],[Vertex 2]],GroupVertices[Vertex],0)),1,1,"")</f>
        <v>3</v>
      </c>
      <c r="BF400" s="49">
        <v>0</v>
      </c>
      <c r="BG400" s="50">
        <v>0</v>
      </c>
      <c r="BH400" s="49">
        <v>0</v>
      </c>
      <c r="BI400" s="50">
        <v>0</v>
      </c>
      <c r="BJ400" s="49">
        <v>0</v>
      </c>
      <c r="BK400" s="50">
        <v>0</v>
      </c>
      <c r="BL400" s="49">
        <v>13</v>
      </c>
      <c r="BM400" s="50">
        <v>100</v>
      </c>
      <c r="BN400" s="49">
        <v>13</v>
      </c>
    </row>
    <row r="401" spans="1:66" ht="15">
      <c r="A401" s="65" t="s">
        <v>343</v>
      </c>
      <c r="B401" s="65" t="s">
        <v>436</v>
      </c>
      <c r="C401" s="66" t="s">
        <v>5817</v>
      </c>
      <c r="D401" s="67">
        <v>1</v>
      </c>
      <c r="E401" s="68" t="s">
        <v>132</v>
      </c>
      <c r="F401" s="69">
        <v>32</v>
      </c>
      <c r="G401" s="66" t="s">
        <v>51</v>
      </c>
      <c r="H401" s="70"/>
      <c r="I401" s="71"/>
      <c r="J401" s="71"/>
      <c r="K401" s="35" t="s">
        <v>65</v>
      </c>
      <c r="L401" s="79">
        <v>401</v>
      </c>
      <c r="M401" s="79"/>
      <c r="N401" s="73"/>
      <c r="O401" s="90" t="s">
        <v>523</v>
      </c>
      <c r="P401" s="93">
        <v>44532.51949074074</v>
      </c>
      <c r="Q401" s="90" t="s">
        <v>652</v>
      </c>
      <c r="R401" s="96" t="str">
        <f>HYPERLINK("https://www.worldometers.info/coronavirus/")</f>
        <v>https://www.worldometers.info/coronavirus/</v>
      </c>
      <c r="S401" s="90" t="s">
        <v>707</v>
      </c>
      <c r="T401" s="90"/>
      <c r="U401" s="96" t="str">
        <f>HYPERLINK("https://pbs.twimg.com/media/FFmj-tHWUAYkMHD.jpg")</f>
        <v>https://pbs.twimg.com/media/FFmj-tHWUAYkMHD.jpg</v>
      </c>
      <c r="V401" s="96" t="str">
        <f>HYPERLINK("https://pbs.twimg.com/media/FFmj-tHWUAYkMHD.jpg")</f>
        <v>https://pbs.twimg.com/media/FFmj-tHWUAYkMHD.jpg</v>
      </c>
      <c r="W401" s="93">
        <v>44532.51949074074</v>
      </c>
      <c r="X401" s="100">
        <v>44532</v>
      </c>
      <c r="Y401" s="97" t="s">
        <v>897</v>
      </c>
      <c r="Z401" s="96" t="str">
        <f>HYPERLINK("https://twitter.com/apostkristitty/status/1466383664443502593")</f>
        <v>https://twitter.com/apostkristitty/status/1466383664443502593</v>
      </c>
      <c r="AA401" s="90"/>
      <c r="AB401" s="90"/>
      <c r="AC401" s="97" t="s">
        <v>1149</v>
      </c>
      <c r="AD401" s="97" t="s">
        <v>1308</v>
      </c>
      <c r="AE401" s="90" t="b">
        <v>0</v>
      </c>
      <c r="AF401" s="90">
        <v>0</v>
      </c>
      <c r="AG401" s="97" t="s">
        <v>1418</v>
      </c>
      <c r="AH401" s="90" t="b">
        <v>0</v>
      </c>
      <c r="AI401" s="90" t="s">
        <v>1442</v>
      </c>
      <c r="AJ401" s="90"/>
      <c r="AK401" s="97" t="s">
        <v>1338</v>
      </c>
      <c r="AL401" s="90" t="b">
        <v>0</v>
      </c>
      <c r="AM401" s="90">
        <v>0</v>
      </c>
      <c r="AN401" s="97" t="s">
        <v>1338</v>
      </c>
      <c r="AO401" s="97" t="s">
        <v>1450</v>
      </c>
      <c r="AP401" s="90" t="b">
        <v>0</v>
      </c>
      <c r="AQ401" s="97" t="s">
        <v>1308</v>
      </c>
      <c r="AR401" s="90" t="s">
        <v>187</v>
      </c>
      <c r="AS401" s="90">
        <v>0</v>
      </c>
      <c r="AT401" s="90">
        <v>0</v>
      </c>
      <c r="AU401" s="90"/>
      <c r="AV401" s="90"/>
      <c r="AW401" s="90"/>
      <c r="AX401" s="90"/>
      <c r="AY401" s="90"/>
      <c r="AZ401" s="90"/>
      <c r="BA401" s="90"/>
      <c r="BB401" s="90"/>
      <c r="BC401">
        <v>1</v>
      </c>
      <c r="BD401" s="89" t="str">
        <f>REPLACE(INDEX(GroupVertices[Group],MATCH(Edges[[#This Row],[Vertex 1]],GroupVertices[Vertex],0)),1,1,"")</f>
        <v>5</v>
      </c>
      <c r="BE401" s="89" t="str">
        <f>REPLACE(INDEX(GroupVertices[Group],MATCH(Edges[[#This Row],[Vertex 2]],GroupVertices[Vertex],0)),1,1,"")</f>
        <v>5</v>
      </c>
      <c r="BF401" s="49">
        <v>0</v>
      </c>
      <c r="BG401" s="50">
        <v>0</v>
      </c>
      <c r="BH401" s="49">
        <v>0</v>
      </c>
      <c r="BI401" s="50">
        <v>0</v>
      </c>
      <c r="BJ401" s="49">
        <v>0</v>
      </c>
      <c r="BK401" s="50">
        <v>0</v>
      </c>
      <c r="BL401" s="49">
        <v>31</v>
      </c>
      <c r="BM401" s="50">
        <v>100</v>
      </c>
      <c r="BN401" s="49">
        <v>31</v>
      </c>
    </row>
    <row r="402" spans="1:66" ht="15">
      <c r="A402" s="65" t="s">
        <v>344</v>
      </c>
      <c r="B402" s="65" t="s">
        <v>385</v>
      </c>
      <c r="C402" s="66" t="s">
        <v>5817</v>
      </c>
      <c r="D402" s="67">
        <v>1</v>
      </c>
      <c r="E402" s="68" t="s">
        <v>132</v>
      </c>
      <c r="F402" s="69">
        <v>32</v>
      </c>
      <c r="G402" s="66" t="s">
        <v>51</v>
      </c>
      <c r="H402" s="70"/>
      <c r="I402" s="71"/>
      <c r="J402" s="71"/>
      <c r="K402" s="35" t="s">
        <v>65</v>
      </c>
      <c r="L402" s="79">
        <v>402</v>
      </c>
      <c r="M402" s="79"/>
      <c r="N402" s="73"/>
      <c r="O402" s="90" t="s">
        <v>523</v>
      </c>
      <c r="P402" s="93">
        <v>44532.602534722224</v>
      </c>
      <c r="Q402" s="90" t="s">
        <v>653</v>
      </c>
      <c r="R402" s="90"/>
      <c r="S402" s="90"/>
      <c r="T402" s="90"/>
      <c r="U402" s="90"/>
      <c r="V402" s="96" t="str">
        <f>HYPERLINK("https://abs.twimg.com/sticky/default_profile_images/default_profile_normal.png")</f>
        <v>https://abs.twimg.com/sticky/default_profile_images/default_profile_normal.png</v>
      </c>
      <c r="W402" s="93">
        <v>44532.602534722224</v>
      </c>
      <c r="X402" s="100">
        <v>44532</v>
      </c>
      <c r="Y402" s="97" t="s">
        <v>898</v>
      </c>
      <c r="Z402" s="96" t="str">
        <f>HYPERLINK("https://twitter.com/haadrobin/status/1466413760655110145")</f>
        <v>https://twitter.com/haadrobin/status/1466413760655110145</v>
      </c>
      <c r="AA402" s="90"/>
      <c r="AB402" s="90"/>
      <c r="AC402" s="97" t="s">
        <v>1150</v>
      </c>
      <c r="AD402" s="97" t="s">
        <v>1309</v>
      </c>
      <c r="AE402" s="90" t="b">
        <v>0</v>
      </c>
      <c r="AF402" s="90">
        <v>0</v>
      </c>
      <c r="AG402" s="97" t="s">
        <v>1342</v>
      </c>
      <c r="AH402" s="90" t="b">
        <v>0</v>
      </c>
      <c r="AI402" s="90" t="s">
        <v>1442</v>
      </c>
      <c r="AJ402" s="90"/>
      <c r="AK402" s="97" t="s">
        <v>1338</v>
      </c>
      <c r="AL402" s="90" t="b">
        <v>0</v>
      </c>
      <c r="AM402" s="90">
        <v>0</v>
      </c>
      <c r="AN402" s="97" t="s">
        <v>1338</v>
      </c>
      <c r="AO402" s="97" t="s">
        <v>1452</v>
      </c>
      <c r="AP402" s="90" t="b">
        <v>0</v>
      </c>
      <c r="AQ402" s="97" t="s">
        <v>1309</v>
      </c>
      <c r="AR402" s="90" t="s">
        <v>187</v>
      </c>
      <c r="AS402" s="90">
        <v>0</v>
      </c>
      <c r="AT402" s="90">
        <v>0</v>
      </c>
      <c r="AU402" s="90"/>
      <c r="AV402" s="90"/>
      <c r="AW402" s="90"/>
      <c r="AX402" s="90"/>
      <c r="AY402" s="90"/>
      <c r="AZ402" s="90"/>
      <c r="BA402" s="90"/>
      <c r="BB402" s="90"/>
      <c r="BC402">
        <v>1</v>
      </c>
      <c r="BD402" s="89" t="str">
        <f>REPLACE(INDEX(GroupVertices[Group],MATCH(Edges[[#This Row],[Vertex 1]],GroupVertices[Vertex],0)),1,1,"")</f>
        <v>6</v>
      </c>
      <c r="BE402" s="89" t="str">
        <f>REPLACE(INDEX(GroupVertices[Group],MATCH(Edges[[#This Row],[Vertex 2]],GroupVertices[Vertex],0)),1,1,"")</f>
        <v>6</v>
      </c>
      <c r="BF402" s="49">
        <v>0</v>
      </c>
      <c r="BG402" s="50">
        <v>0</v>
      </c>
      <c r="BH402" s="49">
        <v>0</v>
      </c>
      <c r="BI402" s="50">
        <v>0</v>
      </c>
      <c r="BJ402" s="49">
        <v>0</v>
      </c>
      <c r="BK402" s="50">
        <v>0</v>
      </c>
      <c r="BL402" s="49">
        <v>34</v>
      </c>
      <c r="BM402" s="50">
        <v>100</v>
      </c>
      <c r="BN402" s="49">
        <v>34</v>
      </c>
    </row>
    <row r="403" spans="1:66" ht="15">
      <c r="A403" s="65" t="s">
        <v>345</v>
      </c>
      <c r="B403" s="65" t="s">
        <v>390</v>
      </c>
      <c r="C403" s="66" t="s">
        <v>5818</v>
      </c>
      <c r="D403" s="67">
        <v>1</v>
      </c>
      <c r="E403" s="68" t="s">
        <v>132</v>
      </c>
      <c r="F403" s="69">
        <v>32</v>
      </c>
      <c r="G403" s="66" t="s">
        <v>51</v>
      </c>
      <c r="H403" s="70"/>
      <c r="I403" s="71"/>
      <c r="J403" s="71"/>
      <c r="K403" s="35" t="s">
        <v>65</v>
      </c>
      <c r="L403" s="79">
        <v>403</v>
      </c>
      <c r="M403" s="79"/>
      <c r="N403" s="73"/>
      <c r="O403" s="90" t="s">
        <v>524</v>
      </c>
      <c r="P403" s="93">
        <v>44532.595555555556</v>
      </c>
      <c r="Q403" s="90" t="s">
        <v>654</v>
      </c>
      <c r="R403" s="96" t="str">
        <f>HYPERLINK("https://pubmed.ncbi.nlm.nih.gov/34466270/")</f>
        <v>https://pubmed.ncbi.nlm.nih.gov/34466270/</v>
      </c>
      <c r="S403" s="90" t="s">
        <v>708</v>
      </c>
      <c r="T403" s="90"/>
      <c r="U403" s="90"/>
      <c r="V403" s="96" t="str">
        <f>HYPERLINK("https://pbs.twimg.com/profile_images/1242759242290954240/fsx2kGyh_normal.jpg")</f>
        <v>https://pbs.twimg.com/profile_images/1242759242290954240/fsx2kGyh_normal.jpg</v>
      </c>
      <c r="W403" s="93">
        <v>44532.595555555556</v>
      </c>
      <c r="X403" s="100">
        <v>44532</v>
      </c>
      <c r="Y403" s="97" t="s">
        <v>899</v>
      </c>
      <c r="Z403" s="96" t="str">
        <f>HYPERLINK("https://twitter.com/jarnosaukkorii1/status/1466411228499263488")</f>
        <v>https://twitter.com/jarnosaukkorii1/status/1466411228499263488</v>
      </c>
      <c r="AA403" s="90"/>
      <c r="AB403" s="90"/>
      <c r="AC403" s="97" t="s">
        <v>1151</v>
      </c>
      <c r="AD403" s="97" t="s">
        <v>1310</v>
      </c>
      <c r="AE403" s="90" t="b">
        <v>0</v>
      </c>
      <c r="AF403" s="90">
        <v>0</v>
      </c>
      <c r="AG403" s="97" t="s">
        <v>1419</v>
      </c>
      <c r="AH403" s="90" t="b">
        <v>0</v>
      </c>
      <c r="AI403" s="90" t="s">
        <v>1442</v>
      </c>
      <c r="AJ403" s="90"/>
      <c r="AK403" s="97" t="s">
        <v>1338</v>
      </c>
      <c r="AL403" s="90" t="b">
        <v>0</v>
      </c>
      <c r="AM403" s="90">
        <v>0</v>
      </c>
      <c r="AN403" s="97" t="s">
        <v>1338</v>
      </c>
      <c r="AO403" s="97" t="s">
        <v>1452</v>
      </c>
      <c r="AP403" s="90" t="b">
        <v>0</v>
      </c>
      <c r="AQ403" s="97" t="s">
        <v>1310</v>
      </c>
      <c r="AR403" s="90" t="s">
        <v>187</v>
      </c>
      <c r="AS403" s="90">
        <v>0</v>
      </c>
      <c r="AT403" s="90">
        <v>0</v>
      </c>
      <c r="AU403" s="90"/>
      <c r="AV403" s="90"/>
      <c r="AW403" s="90"/>
      <c r="AX403" s="90"/>
      <c r="AY403" s="90"/>
      <c r="AZ403" s="90"/>
      <c r="BA403" s="90"/>
      <c r="BB403" s="90"/>
      <c r="BC403">
        <v>2</v>
      </c>
      <c r="BD403" s="89" t="str">
        <f>REPLACE(INDEX(GroupVertices[Group],MATCH(Edges[[#This Row],[Vertex 1]],GroupVertices[Vertex],0)),1,1,"")</f>
        <v>3</v>
      </c>
      <c r="BE403" s="89" t="str">
        <f>REPLACE(INDEX(GroupVertices[Group],MATCH(Edges[[#This Row],[Vertex 2]],GroupVertices[Vertex],0)),1,1,"")</f>
        <v>7</v>
      </c>
      <c r="BF403" s="49"/>
      <c r="BG403" s="50"/>
      <c r="BH403" s="49"/>
      <c r="BI403" s="50"/>
      <c r="BJ403" s="49"/>
      <c r="BK403" s="50"/>
      <c r="BL403" s="49"/>
      <c r="BM403" s="50"/>
      <c r="BN403" s="49"/>
    </row>
    <row r="404" spans="1:66" ht="15">
      <c r="A404" s="65" t="s">
        <v>345</v>
      </c>
      <c r="B404" s="65" t="s">
        <v>390</v>
      </c>
      <c r="C404" s="66" t="s">
        <v>5818</v>
      </c>
      <c r="D404" s="67">
        <v>1</v>
      </c>
      <c r="E404" s="68" t="s">
        <v>132</v>
      </c>
      <c r="F404" s="69">
        <v>32</v>
      </c>
      <c r="G404" s="66" t="s">
        <v>51</v>
      </c>
      <c r="H404" s="70"/>
      <c r="I404" s="71"/>
      <c r="J404" s="71"/>
      <c r="K404" s="35" t="s">
        <v>65</v>
      </c>
      <c r="L404" s="79">
        <v>404</v>
      </c>
      <c r="M404" s="79"/>
      <c r="N404" s="73"/>
      <c r="O404" s="90" t="s">
        <v>524</v>
      </c>
      <c r="P404" s="93">
        <v>44532.60289351852</v>
      </c>
      <c r="Q404" s="90" t="s">
        <v>655</v>
      </c>
      <c r="R404" s="90"/>
      <c r="S404" s="90"/>
      <c r="T404" s="90"/>
      <c r="U404" s="90"/>
      <c r="V404" s="96" t="str">
        <f>HYPERLINK("https://pbs.twimg.com/profile_images/1242759242290954240/fsx2kGyh_normal.jpg")</f>
        <v>https://pbs.twimg.com/profile_images/1242759242290954240/fsx2kGyh_normal.jpg</v>
      </c>
      <c r="W404" s="93">
        <v>44532.60289351852</v>
      </c>
      <c r="X404" s="100">
        <v>44532</v>
      </c>
      <c r="Y404" s="97" t="s">
        <v>900</v>
      </c>
      <c r="Z404" s="96" t="str">
        <f>HYPERLINK("https://twitter.com/jarnosaukkorii1/status/1466413887193030666")</f>
        <v>https://twitter.com/jarnosaukkorii1/status/1466413887193030666</v>
      </c>
      <c r="AA404" s="90"/>
      <c r="AB404" s="90"/>
      <c r="AC404" s="97" t="s">
        <v>1152</v>
      </c>
      <c r="AD404" s="97" t="s">
        <v>1311</v>
      </c>
      <c r="AE404" s="90" t="b">
        <v>0</v>
      </c>
      <c r="AF404" s="90">
        <v>2</v>
      </c>
      <c r="AG404" s="97" t="s">
        <v>1420</v>
      </c>
      <c r="AH404" s="90" t="b">
        <v>0</v>
      </c>
      <c r="AI404" s="90" t="s">
        <v>1442</v>
      </c>
      <c r="AJ404" s="90"/>
      <c r="AK404" s="97" t="s">
        <v>1338</v>
      </c>
      <c r="AL404" s="90" t="b">
        <v>0</v>
      </c>
      <c r="AM404" s="90">
        <v>0</v>
      </c>
      <c r="AN404" s="97" t="s">
        <v>1338</v>
      </c>
      <c r="AO404" s="97" t="s">
        <v>1452</v>
      </c>
      <c r="AP404" s="90" t="b">
        <v>0</v>
      </c>
      <c r="AQ404" s="97" t="s">
        <v>1311</v>
      </c>
      <c r="AR404" s="90" t="s">
        <v>187</v>
      </c>
      <c r="AS404" s="90">
        <v>0</v>
      </c>
      <c r="AT404" s="90">
        <v>0</v>
      </c>
      <c r="AU404" s="90"/>
      <c r="AV404" s="90"/>
      <c r="AW404" s="90"/>
      <c r="AX404" s="90"/>
      <c r="AY404" s="90"/>
      <c r="AZ404" s="90"/>
      <c r="BA404" s="90"/>
      <c r="BB404" s="90"/>
      <c r="BC404">
        <v>2</v>
      </c>
      <c r="BD404" s="89" t="str">
        <f>REPLACE(INDEX(GroupVertices[Group],MATCH(Edges[[#This Row],[Vertex 1]],GroupVertices[Vertex],0)),1,1,"")</f>
        <v>3</v>
      </c>
      <c r="BE404" s="89" t="str">
        <f>REPLACE(INDEX(GroupVertices[Group],MATCH(Edges[[#This Row],[Vertex 2]],GroupVertices[Vertex],0)),1,1,"")</f>
        <v>7</v>
      </c>
      <c r="BF404" s="49"/>
      <c r="BG404" s="50"/>
      <c r="BH404" s="49"/>
      <c r="BI404" s="50"/>
      <c r="BJ404" s="49"/>
      <c r="BK404" s="50"/>
      <c r="BL404" s="49"/>
      <c r="BM404" s="50"/>
      <c r="BN404" s="49"/>
    </row>
    <row r="405" spans="1:66" ht="15">
      <c r="A405" s="65" t="s">
        <v>345</v>
      </c>
      <c r="B405" s="65" t="s">
        <v>495</v>
      </c>
      <c r="C405" s="66" t="s">
        <v>5817</v>
      </c>
      <c r="D405" s="67">
        <v>1</v>
      </c>
      <c r="E405" s="68" t="s">
        <v>132</v>
      </c>
      <c r="F405" s="69">
        <v>32</v>
      </c>
      <c r="G405" s="66" t="s">
        <v>51</v>
      </c>
      <c r="H405" s="70"/>
      <c r="I405" s="71"/>
      <c r="J405" s="71"/>
      <c r="K405" s="35" t="s">
        <v>65</v>
      </c>
      <c r="L405" s="79">
        <v>405</v>
      </c>
      <c r="M405" s="79"/>
      <c r="N405" s="73"/>
      <c r="O405" s="90" t="s">
        <v>523</v>
      </c>
      <c r="P405" s="93">
        <v>44532.595555555556</v>
      </c>
      <c r="Q405" s="90" t="s">
        <v>654</v>
      </c>
      <c r="R405" s="96" t="str">
        <f>HYPERLINK("https://pubmed.ncbi.nlm.nih.gov/34466270/")</f>
        <v>https://pubmed.ncbi.nlm.nih.gov/34466270/</v>
      </c>
      <c r="S405" s="90" t="s">
        <v>708</v>
      </c>
      <c r="T405" s="90"/>
      <c r="U405" s="90"/>
      <c r="V405" s="96" t="str">
        <f>HYPERLINK("https://pbs.twimg.com/profile_images/1242759242290954240/fsx2kGyh_normal.jpg")</f>
        <v>https://pbs.twimg.com/profile_images/1242759242290954240/fsx2kGyh_normal.jpg</v>
      </c>
      <c r="W405" s="93">
        <v>44532.595555555556</v>
      </c>
      <c r="X405" s="100">
        <v>44532</v>
      </c>
      <c r="Y405" s="97" t="s">
        <v>899</v>
      </c>
      <c r="Z405" s="96" t="str">
        <f>HYPERLINK("https://twitter.com/jarnosaukkorii1/status/1466411228499263488")</f>
        <v>https://twitter.com/jarnosaukkorii1/status/1466411228499263488</v>
      </c>
      <c r="AA405" s="90"/>
      <c r="AB405" s="90"/>
      <c r="AC405" s="97" t="s">
        <v>1151</v>
      </c>
      <c r="AD405" s="97" t="s">
        <v>1310</v>
      </c>
      <c r="AE405" s="90" t="b">
        <v>0</v>
      </c>
      <c r="AF405" s="90">
        <v>0</v>
      </c>
      <c r="AG405" s="97" t="s">
        <v>1419</v>
      </c>
      <c r="AH405" s="90" t="b">
        <v>0</v>
      </c>
      <c r="AI405" s="90" t="s">
        <v>1442</v>
      </c>
      <c r="AJ405" s="90"/>
      <c r="AK405" s="97" t="s">
        <v>1338</v>
      </c>
      <c r="AL405" s="90" t="b">
        <v>0</v>
      </c>
      <c r="AM405" s="90">
        <v>0</v>
      </c>
      <c r="AN405" s="97" t="s">
        <v>1338</v>
      </c>
      <c r="AO405" s="97" t="s">
        <v>1452</v>
      </c>
      <c r="AP405" s="90" t="b">
        <v>0</v>
      </c>
      <c r="AQ405" s="97" t="s">
        <v>1310</v>
      </c>
      <c r="AR405" s="90" t="s">
        <v>187</v>
      </c>
      <c r="AS405" s="90">
        <v>0</v>
      </c>
      <c r="AT405" s="90">
        <v>0</v>
      </c>
      <c r="AU405" s="90"/>
      <c r="AV405" s="90"/>
      <c r="AW405" s="90"/>
      <c r="AX405" s="90"/>
      <c r="AY405" s="90"/>
      <c r="AZ405" s="90"/>
      <c r="BA405" s="90"/>
      <c r="BB405" s="90"/>
      <c r="BC405">
        <v>1</v>
      </c>
      <c r="BD405" s="89" t="str">
        <f>REPLACE(INDEX(GroupVertices[Group],MATCH(Edges[[#This Row],[Vertex 1]],GroupVertices[Vertex],0)),1,1,"")</f>
        <v>3</v>
      </c>
      <c r="BE405" s="89" t="str">
        <f>REPLACE(INDEX(GroupVertices[Group],MATCH(Edges[[#This Row],[Vertex 2]],GroupVertices[Vertex],0)),1,1,"")</f>
        <v>3</v>
      </c>
      <c r="BF405" s="49">
        <v>0</v>
      </c>
      <c r="BG405" s="50">
        <v>0</v>
      </c>
      <c r="BH405" s="49">
        <v>0</v>
      </c>
      <c r="BI405" s="50">
        <v>0</v>
      </c>
      <c r="BJ405" s="49">
        <v>0</v>
      </c>
      <c r="BK405" s="50">
        <v>0</v>
      </c>
      <c r="BL405" s="49">
        <v>27</v>
      </c>
      <c r="BM405" s="50">
        <v>100</v>
      </c>
      <c r="BN405" s="49">
        <v>27</v>
      </c>
    </row>
    <row r="406" spans="1:66" ht="15">
      <c r="A406" s="65" t="s">
        <v>345</v>
      </c>
      <c r="B406" s="65" t="s">
        <v>495</v>
      </c>
      <c r="C406" s="66" t="s">
        <v>5817</v>
      </c>
      <c r="D406" s="67">
        <v>1</v>
      </c>
      <c r="E406" s="68" t="s">
        <v>132</v>
      </c>
      <c r="F406" s="69">
        <v>32</v>
      </c>
      <c r="G406" s="66" t="s">
        <v>51</v>
      </c>
      <c r="H406" s="70"/>
      <c r="I406" s="71"/>
      <c r="J406" s="71"/>
      <c r="K406" s="35" t="s">
        <v>65</v>
      </c>
      <c r="L406" s="79">
        <v>406</v>
      </c>
      <c r="M406" s="79"/>
      <c r="N406" s="73"/>
      <c r="O406" s="90" t="s">
        <v>524</v>
      </c>
      <c r="P406" s="93">
        <v>44532.60289351852</v>
      </c>
      <c r="Q406" s="90" t="s">
        <v>655</v>
      </c>
      <c r="R406" s="90"/>
      <c r="S406" s="90"/>
      <c r="T406" s="90"/>
      <c r="U406" s="90"/>
      <c r="V406" s="96" t="str">
        <f>HYPERLINK("https://pbs.twimg.com/profile_images/1242759242290954240/fsx2kGyh_normal.jpg")</f>
        <v>https://pbs.twimg.com/profile_images/1242759242290954240/fsx2kGyh_normal.jpg</v>
      </c>
      <c r="W406" s="93">
        <v>44532.60289351852</v>
      </c>
      <c r="X406" s="100">
        <v>44532</v>
      </c>
      <c r="Y406" s="97" t="s">
        <v>900</v>
      </c>
      <c r="Z406" s="96" t="str">
        <f>HYPERLINK("https://twitter.com/jarnosaukkorii1/status/1466413887193030666")</f>
        <v>https://twitter.com/jarnosaukkorii1/status/1466413887193030666</v>
      </c>
      <c r="AA406" s="90"/>
      <c r="AB406" s="90"/>
      <c r="AC406" s="97" t="s">
        <v>1152</v>
      </c>
      <c r="AD406" s="97" t="s">
        <v>1311</v>
      </c>
      <c r="AE406" s="90" t="b">
        <v>0</v>
      </c>
      <c r="AF406" s="90">
        <v>2</v>
      </c>
      <c r="AG406" s="97" t="s">
        <v>1420</v>
      </c>
      <c r="AH406" s="90" t="b">
        <v>0</v>
      </c>
      <c r="AI406" s="90" t="s">
        <v>1442</v>
      </c>
      <c r="AJ406" s="90"/>
      <c r="AK406" s="97" t="s">
        <v>1338</v>
      </c>
      <c r="AL406" s="90" t="b">
        <v>0</v>
      </c>
      <c r="AM406" s="90">
        <v>0</v>
      </c>
      <c r="AN406" s="97" t="s">
        <v>1338</v>
      </c>
      <c r="AO406" s="97" t="s">
        <v>1452</v>
      </c>
      <c r="AP406" s="90" t="b">
        <v>0</v>
      </c>
      <c r="AQ406" s="97" t="s">
        <v>1311</v>
      </c>
      <c r="AR406" s="90" t="s">
        <v>187</v>
      </c>
      <c r="AS406" s="90">
        <v>0</v>
      </c>
      <c r="AT406" s="90">
        <v>0</v>
      </c>
      <c r="AU406" s="90"/>
      <c r="AV406" s="90"/>
      <c r="AW406" s="90"/>
      <c r="AX406" s="90"/>
      <c r="AY406" s="90"/>
      <c r="AZ406" s="90"/>
      <c r="BA406" s="90"/>
      <c r="BB406" s="90"/>
      <c r="BC406">
        <v>1</v>
      </c>
      <c r="BD406" s="89" t="str">
        <f>REPLACE(INDEX(GroupVertices[Group],MATCH(Edges[[#This Row],[Vertex 1]],GroupVertices[Vertex],0)),1,1,"")</f>
        <v>3</v>
      </c>
      <c r="BE406" s="89" t="str">
        <f>REPLACE(INDEX(GroupVertices[Group],MATCH(Edges[[#This Row],[Vertex 2]],GroupVertices[Vertex],0)),1,1,"")</f>
        <v>3</v>
      </c>
      <c r="BF406" s="49">
        <v>0</v>
      </c>
      <c r="BG406" s="50">
        <v>0</v>
      </c>
      <c r="BH406" s="49">
        <v>0</v>
      </c>
      <c r="BI406" s="50">
        <v>0</v>
      </c>
      <c r="BJ406" s="49">
        <v>0</v>
      </c>
      <c r="BK406" s="50">
        <v>0</v>
      </c>
      <c r="BL406" s="49">
        <v>15</v>
      </c>
      <c r="BM406" s="50">
        <v>100</v>
      </c>
      <c r="BN406" s="49">
        <v>15</v>
      </c>
    </row>
    <row r="407" spans="1:66" ht="15">
      <c r="A407" s="65" t="s">
        <v>335</v>
      </c>
      <c r="B407" s="65" t="s">
        <v>430</v>
      </c>
      <c r="C407" s="66" t="s">
        <v>5817</v>
      </c>
      <c r="D407" s="67">
        <v>1</v>
      </c>
      <c r="E407" s="68" t="s">
        <v>132</v>
      </c>
      <c r="F407" s="69">
        <v>32</v>
      </c>
      <c r="G407" s="66" t="s">
        <v>51</v>
      </c>
      <c r="H407" s="70"/>
      <c r="I407" s="71"/>
      <c r="J407" s="71"/>
      <c r="K407" s="35" t="s">
        <v>65</v>
      </c>
      <c r="L407" s="79">
        <v>407</v>
      </c>
      <c r="M407" s="79"/>
      <c r="N407" s="73"/>
      <c r="O407" s="90" t="s">
        <v>525</v>
      </c>
      <c r="P407" s="93">
        <v>44531.426932870374</v>
      </c>
      <c r="Q407" s="90" t="s">
        <v>576</v>
      </c>
      <c r="R407" s="90"/>
      <c r="S407" s="90"/>
      <c r="T407" s="97" t="s">
        <v>712</v>
      </c>
      <c r="U407" s="96" t="str">
        <f>HYPERLINK("https://pbs.twimg.com/media/FFc5qVTVQAkWXE2.jpg")</f>
        <v>https://pbs.twimg.com/media/FFc5qVTVQAkWXE2.jpg</v>
      </c>
      <c r="V407" s="96" t="str">
        <f>HYPERLINK("https://pbs.twimg.com/media/FFc5qVTVQAkWXE2.jpg")</f>
        <v>https://pbs.twimg.com/media/FFc5qVTVQAkWXE2.jpg</v>
      </c>
      <c r="W407" s="93">
        <v>44531.426932870374</v>
      </c>
      <c r="X407" s="100">
        <v>44531</v>
      </c>
      <c r="Y407" s="97" t="s">
        <v>901</v>
      </c>
      <c r="Z407" s="96" t="str">
        <f>HYPERLINK("https://twitter.com/siniveikko/status/1465987733793480709")</f>
        <v>https://twitter.com/siniveikko/status/1465987733793480709</v>
      </c>
      <c r="AA407" s="90"/>
      <c r="AB407" s="90"/>
      <c r="AC407" s="97" t="s">
        <v>1153</v>
      </c>
      <c r="AD407" s="90"/>
      <c r="AE407" s="90" t="b">
        <v>0</v>
      </c>
      <c r="AF407" s="90">
        <v>0</v>
      </c>
      <c r="AG407" s="97" t="s">
        <v>1338</v>
      </c>
      <c r="AH407" s="90" t="b">
        <v>0</v>
      </c>
      <c r="AI407" s="90" t="s">
        <v>1442</v>
      </c>
      <c r="AJ407" s="90"/>
      <c r="AK407" s="97" t="s">
        <v>1338</v>
      </c>
      <c r="AL407" s="90" t="b">
        <v>0</v>
      </c>
      <c r="AM407" s="90">
        <v>18</v>
      </c>
      <c r="AN407" s="97" t="s">
        <v>1196</v>
      </c>
      <c r="AO407" s="97" t="s">
        <v>1453</v>
      </c>
      <c r="AP407" s="90" t="b">
        <v>0</v>
      </c>
      <c r="AQ407" s="97" t="s">
        <v>1196</v>
      </c>
      <c r="AR407" s="90" t="s">
        <v>187</v>
      </c>
      <c r="AS407" s="90">
        <v>0</v>
      </c>
      <c r="AT407" s="90">
        <v>0</v>
      </c>
      <c r="AU407" s="90"/>
      <c r="AV407" s="90"/>
      <c r="AW407" s="90"/>
      <c r="AX407" s="90"/>
      <c r="AY407" s="90"/>
      <c r="AZ407" s="90"/>
      <c r="BA407" s="90"/>
      <c r="BB407" s="90"/>
      <c r="BC407">
        <v>1</v>
      </c>
      <c r="BD407" s="89" t="str">
        <f>REPLACE(INDEX(GroupVertices[Group],MATCH(Edges[[#This Row],[Vertex 1]],GroupVertices[Vertex],0)),1,1,"")</f>
        <v>3</v>
      </c>
      <c r="BE407" s="89" t="str">
        <f>REPLACE(INDEX(GroupVertices[Group],MATCH(Edges[[#This Row],[Vertex 2]],GroupVertices[Vertex],0)),1,1,"")</f>
        <v>3</v>
      </c>
      <c r="BF407" s="49"/>
      <c r="BG407" s="50"/>
      <c r="BH407" s="49"/>
      <c r="BI407" s="50"/>
      <c r="BJ407" s="49"/>
      <c r="BK407" s="50"/>
      <c r="BL407" s="49"/>
      <c r="BM407" s="50"/>
      <c r="BN407" s="49"/>
    </row>
    <row r="408" spans="1:66" ht="15">
      <c r="A408" s="65" t="s">
        <v>335</v>
      </c>
      <c r="B408" s="65" t="s">
        <v>431</v>
      </c>
      <c r="C408" s="66" t="s">
        <v>5817</v>
      </c>
      <c r="D408" s="67">
        <v>1</v>
      </c>
      <c r="E408" s="68" t="s">
        <v>132</v>
      </c>
      <c r="F408" s="69">
        <v>32</v>
      </c>
      <c r="G408" s="66" t="s">
        <v>51</v>
      </c>
      <c r="H408" s="70"/>
      <c r="I408" s="71"/>
      <c r="J408" s="71"/>
      <c r="K408" s="35" t="s">
        <v>65</v>
      </c>
      <c r="L408" s="79">
        <v>408</v>
      </c>
      <c r="M408" s="79"/>
      <c r="N408" s="73"/>
      <c r="O408" s="90" t="s">
        <v>525</v>
      </c>
      <c r="P408" s="93">
        <v>44531.426932870374</v>
      </c>
      <c r="Q408" s="90" t="s">
        <v>576</v>
      </c>
      <c r="R408" s="90"/>
      <c r="S408" s="90"/>
      <c r="T408" s="97" t="s">
        <v>712</v>
      </c>
      <c r="U408" s="96" t="str">
        <f>HYPERLINK("https://pbs.twimg.com/media/FFc5qVTVQAkWXE2.jpg")</f>
        <v>https://pbs.twimg.com/media/FFc5qVTVQAkWXE2.jpg</v>
      </c>
      <c r="V408" s="96" t="str">
        <f>HYPERLINK("https://pbs.twimg.com/media/FFc5qVTVQAkWXE2.jpg")</f>
        <v>https://pbs.twimg.com/media/FFc5qVTVQAkWXE2.jpg</v>
      </c>
      <c r="W408" s="93">
        <v>44531.426932870374</v>
      </c>
      <c r="X408" s="100">
        <v>44531</v>
      </c>
      <c r="Y408" s="97" t="s">
        <v>901</v>
      </c>
      <c r="Z408" s="96" t="str">
        <f>HYPERLINK("https://twitter.com/siniveikko/status/1465987733793480709")</f>
        <v>https://twitter.com/siniveikko/status/1465987733793480709</v>
      </c>
      <c r="AA408" s="90"/>
      <c r="AB408" s="90"/>
      <c r="AC408" s="97" t="s">
        <v>1153</v>
      </c>
      <c r="AD408" s="90"/>
      <c r="AE408" s="90" t="b">
        <v>0</v>
      </c>
      <c r="AF408" s="90">
        <v>0</v>
      </c>
      <c r="AG408" s="97" t="s">
        <v>1338</v>
      </c>
      <c r="AH408" s="90" t="b">
        <v>0</v>
      </c>
      <c r="AI408" s="90" t="s">
        <v>1442</v>
      </c>
      <c r="AJ408" s="90"/>
      <c r="AK408" s="97" t="s">
        <v>1338</v>
      </c>
      <c r="AL408" s="90" t="b">
        <v>0</v>
      </c>
      <c r="AM408" s="90">
        <v>18</v>
      </c>
      <c r="AN408" s="97" t="s">
        <v>1196</v>
      </c>
      <c r="AO408" s="97" t="s">
        <v>1453</v>
      </c>
      <c r="AP408" s="90" t="b">
        <v>0</v>
      </c>
      <c r="AQ408" s="97" t="s">
        <v>1196</v>
      </c>
      <c r="AR408" s="90" t="s">
        <v>187</v>
      </c>
      <c r="AS408" s="90">
        <v>0</v>
      </c>
      <c r="AT408" s="90">
        <v>0</v>
      </c>
      <c r="AU408" s="90"/>
      <c r="AV408" s="90"/>
      <c r="AW408" s="90"/>
      <c r="AX408" s="90"/>
      <c r="AY408" s="90"/>
      <c r="AZ408" s="90"/>
      <c r="BA408" s="90"/>
      <c r="BB408" s="90"/>
      <c r="BC408">
        <v>1</v>
      </c>
      <c r="BD408" s="89" t="str">
        <f>REPLACE(INDEX(GroupVertices[Group],MATCH(Edges[[#This Row],[Vertex 1]],GroupVertices[Vertex],0)),1,1,"")</f>
        <v>3</v>
      </c>
      <c r="BE408" s="89" t="str">
        <f>REPLACE(INDEX(GroupVertices[Group],MATCH(Edges[[#This Row],[Vertex 2]],GroupVertices[Vertex],0)),1,1,"")</f>
        <v>3</v>
      </c>
      <c r="BF408" s="49"/>
      <c r="BG408" s="50"/>
      <c r="BH408" s="49"/>
      <c r="BI408" s="50"/>
      <c r="BJ408" s="49"/>
      <c r="BK408" s="50"/>
      <c r="BL408" s="49"/>
      <c r="BM408" s="50"/>
      <c r="BN408" s="49"/>
    </row>
    <row r="409" spans="1:66" ht="15">
      <c r="A409" s="65" t="s">
        <v>335</v>
      </c>
      <c r="B409" s="65" t="s">
        <v>368</v>
      </c>
      <c r="C409" s="66" t="s">
        <v>5817</v>
      </c>
      <c r="D409" s="67">
        <v>1</v>
      </c>
      <c r="E409" s="68" t="s">
        <v>132</v>
      </c>
      <c r="F409" s="69">
        <v>32</v>
      </c>
      <c r="G409" s="66" t="s">
        <v>51</v>
      </c>
      <c r="H409" s="70"/>
      <c r="I409" s="71"/>
      <c r="J409" s="71"/>
      <c r="K409" s="35" t="s">
        <v>65</v>
      </c>
      <c r="L409" s="79">
        <v>409</v>
      </c>
      <c r="M409" s="79"/>
      <c r="N409" s="73"/>
      <c r="O409" s="90" t="s">
        <v>522</v>
      </c>
      <c r="P409" s="93">
        <v>44531.426932870374</v>
      </c>
      <c r="Q409" s="90" t="s">
        <v>576</v>
      </c>
      <c r="R409" s="90"/>
      <c r="S409" s="90"/>
      <c r="T409" s="97" t="s">
        <v>712</v>
      </c>
      <c r="U409" s="96" t="str">
        <f>HYPERLINK("https://pbs.twimg.com/media/FFc5qVTVQAkWXE2.jpg")</f>
        <v>https://pbs.twimg.com/media/FFc5qVTVQAkWXE2.jpg</v>
      </c>
      <c r="V409" s="96" t="str">
        <f>HYPERLINK("https://pbs.twimg.com/media/FFc5qVTVQAkWXE2.jpg")</f>
        <v>https://pbs.twimg.com/media/FFc5qVTVQAkWXE2.jpg</v>
      </c>
      <c r="W409" s="93">
        <v>44531.426932870374</v>
      </c>
      <c r="X409" s="100">
        <v>44531</v>
      </c>
      <c r="Y409" s="97" t="s">
        <v>901</v>
      </c>
      <c r="Z409" s="96" t="str">
        <f>HYPERLINK("https://twitter.com/siniveikko/status/1465987733793480709")</f>
        <v>https://twitter.com/siniveikko/status/1465987733793480709</v>
      </c>
      <c r="AA409" s="90"/>
      <c r="AB409" s="90"/>
      <c r="AC409" s="97" t="s">
        <v>1153</v>
      </c>
      <c r="AD409" s="90"/>
      <c r="AE409" s="90" t="b">
        <v>0</v>
      </c>
      <c r="AF409" s="90">
        <v>0</v>
      </c>
      <c r="AG409" s="97" t="s">
        <v>1338</v>
      </c>
      <c r="AH409" s="90" t="b">
        <v>0</v>
      </c>
      <c r="AI409" s="90" t="s">
        <v>1442</v>
      </c>
      <c r="AJ409" s="90"/>
      <c r="AK409" s="97" t="s">
        <v>1338</v>
      </c>
      <c r="AL409" s="90" t="b">
        <v>0</v>
      </c>
      <c r="AM409" s="90">
        <v>18</v>
      </c>
      <c r="AN409" s="97" t="s">
        <v>1196</v>
      </c>
      <c r="AO409" s="97" t="s">
        <v>1453</v>
      </c>
      <c r="AP409" s="90" t="b">
        <v>0</v>
      </c>
      <c r="AQ409" s="97" t="s">
        <v>1196</v>
      </c>
      <c r="AR409" s="90" t="s">
        <v>187</v>
      </c>
      <c r="AS409" s="90">
        <v>0</v>
      </c>
      <c r="AT409" s="90">
        <v>0</v>
      </c>
      <c r="AU409" s="90"/>
      <c r="AV409" s="90"/>
      <c r="AW409" s="90"/>
      <c r="AX409" s="90"/>
      <c r="AY409" s="90"/>
      <c r="AZ409" s="90"/>
      <c r="BA409" s="90"/>
      <c r="BB409" s="90"/>
      <c r="BC409">
        <v>1</v>
      </c>
      <c r="BD409" s="89" t="str">
        <f>REPLACE(INDEX(GroupVertices[Group],MATCH(Edges[[#This Row],[Vertex 1]],GroupVertices[Vertex],0)),1,1,"")</f>
        <v>3</v>
      </c>
      <c r="BE409" s="89" t="str">
        <f>REPLACE(INDEX(GroupVertices[Group],MATCH(Edges[[#This Row],[Vertex 2]],GroupVertices[Vertex],0)),1,1,"")</f>
        <v>3</v>
      </c>
      <c r="BF409" s="49">
        <v>0</v>
      </c>
      <c r="BG409" s="50">
        <v>0</v>
      </c>
      <c r="BH409" s="49">
        <v>0</v>
      </c>
      <c r="BI409" s="50">
        <v>0</v>
      </c>
      <c r="BJ409" s="49">
        <v>0</v>
      </c>
      <c r="BK409" s="50">
        <v>0</v>
      </c>
      <c r="BL409" s="49">
        <v>13</v>
      </c>
      <c r="BM409" s="50">
        <v>100</v>
      </c>
      <c r="BN409" s="49">
        <v>13</v>
      </c>
    </row>
    <row r="410" spans="1:66" ht="15">
      <c r="A410" s="65" t="s">
        <v>345</v>
      </c>
      <c r="B410" s="65" t="s">
        <v>335</v>
      </c>
      <c r="C410" s="66" t="s">
        <v>5817</v>
      </c>
      <c r="D410" s="67">
        <v>1</v>
      </c>
      <c r="E410" s="68" t="s">
        <v>132</v>
      </c>
      <c r="F410" s="69">
        <v>32</v>
      </c>
      <c r="G410" s="66" t="s">
        <v>51</v>
      </c>
      <c r="H410" s="70"/>
      <c r="I410" s="71"/>
      <c r="J410" s="71"/>
      <c r="K410" s="35" t="s">
        <v>65</v>
      </c>
      <c r="L410" s="79">
        <v>410</v>
      </c>
      <c r="M410" s="79"/>
      <c r="N410" s="73"/>
      <c r="O410" s="90" t="s">
        <v>524</v>
      </c>
      <c r="P410" s="93">
        <v>44532.595555555556</v>
      </c>
      <c r="Q410" s="90" t="s">
        <v>654</v>
      </c>
      <c r="R410" s="96" t="str">
        <f>HYPERLINK("https://pubmed.ncbi.nlm.nih.gov/34466270/")</f>
        <v>https://pubmed.ncbi.nlm.nih.gov/34466270/</v>
      </c>
      <c r="S410" s="90" t="s">
        <v>708</v>
      </c>
      <c r="T410" s="90"/>
      <c r="U410" s="90"/>
      <c r="V410" s="96" t="str">
        <f>HYPERLINK("https://pbs.twimg.com/profile_images/1242759242290954240/fsx2kGyh_normal.jpg")</f>
        <v>https://pbs.twimg.com/profile_images/1242759242290954240/fsx2kGyh_normal.jpg</v>
      </c>
      <c r="W410" s="93">
        <v>44532.595555555556</v>
      </c>
      <c r="X410" s="100">
        <v>44532</v>
      </c>
      <c r="Y410" s="97" t="s">
        <v>899</v>
      </c>
      <c r="Z410" s="96" t="str">
        <f>HYPERLINK("https://twitter.com/jarnosaukkorii1/status/1466411228499263488")</f>
        <v>https://twitter.com/jarnosaukkorii1/status/1466411228499263488</v>
      </c>
      <c r="AA410" s="90"/>
      <c r="AB410" s="90"/>
      <c r="AC410" s="97" t="s">
        <v>1151</v>
      </c>
      <c r="AD410" s="97" t="s">
        <v>1310</v>
      </c>
      <c r="AE410" s="90" t="b">
        <v>0</v>
      </c>
      <c r="AF410" s="90">
        <v>0</v>
      </c>
      <c r="AG410" s="97" t="s">
        <v>1419</v>
      </c>
      <c r="AH410" s="90" t="b">
        <v>0</v>
      </c>
      <c r="AI410" s="90" t="s">
        <v>1442</v>
      </c>
      <c r="AJ410" s="90"/>
      <c r="AK410" s="97" t="s">
        <v>1338</v>
      </c>
      <c r="AL410" s="90" t="b">
        <v>0</v>
      </c>
      <c r="AM410" s="90">
        <v>0</v>
      </c>
      <c r="AN410" s="97" t="s">
        <v>1338</v>
      </c>
      <c r="AO410" s="97" t="s">
        <v>1452</v>
      </c>
      <c r="AP410" s="90" t="b">
        <v>0</v>
      </c>
      <c r="AQ410" s="97" t="s">
        <v>1310</v>
      </c>
      <c r="AR410" s="90" t="s">
        <v>187</v>
      </c>
      <c r="AS410" s="90">
        <v>0</v>
      </c>
      <c r="AT410" s="90">
        <v>0</v>
      </c>
      <c r="AU410" s="90"/>
      <c r="AV410" s="90"/>
      <c r="AW410" s="90"/>
      <c r="AX410" s="90"/>
      <c r="AY410" s="90"/>
      <c r="AZ410" s="90"/>
      <c r="BA410" s="90"/>
      <c r="BB410" s="90"/>
      <c r="BC410">
        <v>1</v>
      </c>
      <c r="BD410" s="89" t="str">
        <f>REPLACE(INDEX(GroupVertices[Group],MATCH(Edges[[#This Row],[Vertex 1]],GroupVertices[Vertex],0)),1,1,"")</f>
        <v>3</v>
      </c>
      <c r="BE410" s="89" t="str">
        <f>REPLACE(INDEX(GroupVertices[Group],MATCH(Edges[[#This Row],[Vertex 2]],GroupVertices[Vertex],0)),1,1,"")</f>
        <v>3</v>
      </c>
      <c r="BF410" s="49"/>
      <c r="BG410" s="50"/>
      <c r="BH410" s="49"/>
      <c r="BI410" s="50"/>
      <c r="BJ410" s="49"/>
      <c r="BK410" s="50"/>
      <c r="BL410" s="49"/>
      <c r="BM410" s="50"/>
      <c r="BN410" s="49"/>
    </row>
    <row r="411" spans="1:66" ht="15">
      <c r="A411" s="65" t="s">
        <v>345</v>
      </c>
      <c r="B411" s="65" t="s">
        <v>335</v>
      </c>
      <c r="C411" s="66" t="s">
        <v>5817</v>
      </c>
      <c r="D411" s="67">
        <v>1</v>
      </c>
      <c r="E411" s="68" t="s">
        <v>132</v>
      </c>
      <c r="F411" s="69">
        <v>32</v>
      </c>
      <c r="G411" s="66" t="s">
        <v>51</v>
      </c>
      <c r="H411" s="70"/>
      <c r="I411" s="71"/>
      <c r="J411" s="71"/>
      <c r="K411" s="35" t="s">
        <v>65</v>
      </c>
      <c r="L411" s="79">
        <v>411</v>
      </c>
      <c r="M411" s="79"/>
      <c r="N411" s="73"/>
      <c r="O411" s="90" t="s">
        <v>523</v>
      </c>
      <c r="P411" s="93">
        <v>44532.60289351852</v>
      </c>
      <c r="Q411" s="90" t="s">
        <v>655</v>
      </c>
      <c r="R411" s="90"/>
      <c r="S411" s="90"/>
      <c r="T411" s="90"/>
      <c r="U411" s="90"/>
      <c r="V411" s="96" t="str">
        <f>HYPERLINK("https://pbs.twimg.com/profile_images/1242759242290954240/fsx2kGyh_normal.jpg")</f>
        <v>https://pbs.twimg.com/profile_images/1242759242290954240/fsx2kGyh_normal.jpg</v>
      </c>
      <c r="W411" s="93">
        <v>44532.60289351852</v>
      </c>
      <c r="X411" s="100">
        <v>44532</v>
      </c>
      <c r="Y411" s="97" t="s">
        <v>900</v>
      </c>
      <c r="Z411" s="96" t="str">
        <f>HYPERLINK("https://twitter.com/jarnosaukkorii1/status/1466413887193030666")</f>
        <v>https://twitter.com/jarnosaukkorii1/status/1466413887193030666</v>
      </c>
      <c r="AA411" s="90"/>
      <c r="AB411" s="90"/>
      <c r="AC411" s="97" t="s">
        <v>1152</v>
      </c>
      <c r="AD411" s="97" t="s">
        <v>1311</v>
      </c>
      <c r="AE411" s="90" t="b">
        <v>0</v>
      </c>
      <c r="AF411" s="90">
        <v>2</v>
      </c>
      <c r="AG411" s="97" t="s">
        <v>1420</v>
      </c>
      <c r="AH411" s="90" t="b">
        <v>0</v>
      </c>
      <c r="AI411" s="90" t="s">
        <v>1442</v>
      </c>
      <c r="AJ411" s="90"/>
      <c r="AK411" s="97" t="s">
        <v>1338</v>
      </c>
      <c r="AL411" s="90" t="b">
        <v>0</v>
      </c>
      <c r="AM411" s="90">
        <v>0</v>
      </c>
      <c r="AN411" s="97" t="s">
        <v>1338</v>
      </c>
      <c r="AO411" s="97" t="s">
        <v>1452</v>
      </c>
      <c r="AP411" s="90" t="b">
        <v>0</v>
      </c>
      <c r="AQ411" s="97" t="s">
        <v>1311</v>
      </c>
      <c r="AR411" s="90" t="s">
        <v>187</v>
      </c>
      <c r="AS411" s="90">
        <v>0</v>
      </c>
      <c r="AT411" s="90">
        <v>0</v>
      </c>
      <c r="AU411" s="90"/>
      <c r="AV411" s="90"/>
      <c r="AW411" s="90"/>
      <c r="AX411" s="90"/>
      <c r="AY411" s="90"/>
      <c r="AZ411" s="90"/>
      <c r="BA411" s="90"/>
      <c r="BB411" s="90"/>
      <c r="BC411">
        <v>1</v>
      </c>
      <c r="BD411" s="89" t="str">
        <f>REPLACE(INDEX(GroupVertices[Group],MATCH(Edges[[#This Row],[Vertex 1]],GroupVertices[Vertex],0)),1,1,"")</f>
        <v>3</v>
      </c>
      <c r="BE411" s="89" t="str">
        <f>REPLACE(INDEX(GroupVertices[Group],MATCH(Edges[[#This Row],[Vertex 2]],GroupVertices[Vertex],0)),1,1,"")</f>
        <v>3</v>
      </c>
      <c r="BF411" s="49"/>
      <c r="BG411" s="50"/>
      <c r="BH411" s="49"/>
      <c r="BI411" s="50"/>
      <c r="BJ411" s="49"/>
      <c r="BK411" s="50"/>
      <c r="BL411" s="49"/>
      <c r="BM411" s="50"/>
      <c r="BN411" s="49"/>
    </row>
    <row r="412" spans="1:66" ht="15">
      <c r="A412" s="65" t="s">
        <v>346</v>
      </c>
      <c r="B412" s="65" t="s">
        <v>374</v>
      </c>
      <c r="C412" s="66" t="s">
        <v>5817</v>
      </c>
      <c r="D412" s="67">
        <v>1</v>
      </c>
      <c r="E412" s="68" t="s">
        <v>132</v>
      </c>
      <c r="F412" s="69">
        <v>32</v>
      </c>
      <c r="G412" s="66" t="s">
        <v>51</v>
      </c>
      <c r="H412" s="70"/>
      <c r="I412" s="71"/>
      <c r="J412" s="71"/>
      <c r="K412" s="35" t="s">
        <v>65</v>
      </c>
      <c r="L412" s="79">
        <v>412</v>
      </c>
      <c r="M412" s="79"/>
      <c r="N412" s="73"/>
      <c r="O412" s="90" t="s">
        <v>522</v>
      </c>
      <c r="P412" s="93">
        <v>44532.809282407405</v>
      </c>
      <c r="Q412" s="90" t="s">
        <v>656</v>
      </c>
      <c r="R412" s="96" t="str">
        <f>HYPERLINK("https://twitter.com/millatiuni/status/1466446380843606025")</f>
        <v>https://twitter.com/millatiuni/status/1466446380843606025</v>
      </c>
      <c r="S412" s="90" t="s">
        <v>693</v>
      </c>
      <c r="T412" s="90"/>
      <c r="U412" s="90"/>
      <c r="V412" s="96" t="str">
        <f>HYPERLINK("https://abs.twimg.com/sticky/default_profile_images/default_profile_normal.png")</f>
        <v>https://abs.twimg.com/sticky/default_profile_images/default_profile_normal.png</v>
      </c>
      <c r="W412" s="93">
        <v>44532.809282407405</v>
      </c>
      <c r="X412" s="100">
        <v>44532</v>
      </c>
      <c r="Y412" s="97" t="s">
        <v>902</v>
      </c>
      <c r="Z412" s="96" t="str">
        <f>HYPERLINK("https://twitter.com/kissanviikset1/status/1466488682299416583")</f>
        <v>https://twitter.com/kissanviikset1/status/1466488682299416583</v>
      </c>
      <c r="AA412" s="90"/>
      <c r="AB412" s="90"/>
      <c r="AC412" s="97" t="s">
        <v>1154</v>
      </c>
      <c r="AD412" s="90"/>
      <c r="AE412" s="90" t="b">
        <v>0</v>
      </c>
      <c r="AF412" s="90">
        <v>0</v>
      </c>
      <c r="AG412" s="97" t="s">
        <v>1338</v>
      </c>
      <c r="AH412" s="90" t="b">
        <v>1</v>
      </c>
      <c r="AI412" s="90" t="s">
        <v>1442</v>
      </c>
      <c r="AJ412" s="90"/>
      <c r="AK412" s="97" t="s">
        <v>1448</v>
      </c>
      <c r="AL412" s="90" t="b">
        <v>0</v>
      </c>
      <c r="AM412" s="90">
        <v>29</v>
      </c>
      <c r="AN412" s="97" t="s">
        <v>1218</v>
      </c>
      <c r="AO412" s="97" t="s">
        <v>1450</v>
      </c>
      <c r="AP412" s="90" t="b">
        <v>0</v>
      </c>
      <c r="AQ412" s="97" t="s">
        <v>1218</v>
      </c>
      <c r="AR412" s="90" t="s">
        <v>187</v>
      </c>
      <c r="AS412" s="90">
        <v>0</v>
      </c>
      <c r="AT412" s="90">
        <v>0</v>
      </c>
      <c r="AU412" s="90"/>
      <c r="AV412" s="90"/>
      <c r="AW412" s="90"/>
      <c r="AX412" s="90"/>
      <c r="AY412" s="90"/>
      <c r="AZ412" s="90"/>
      <c r="BA412" s="90"/>
      <c r="BB412" s="90"/>
      <c r="BC412">
        <v>1</v>
      </c>
      <c r="BD412" s="89" t="str">
        <f>REPLACE(INDEX(GroupVertices[Group],MATCH(Edges[[#This Row],[Vertex 1]],GroupVertices[Vertex],0)),1,1,"")</f>
        <v>1</v>
      </c>
      <c r="BE412" s="89" t="str">
        <f>REPLACE(INDEX(GroupVertices[Group],MATCH(Edges[[#This Row],[Vertex 2]],GroupVertices[Vertex],0)),1,1,"")</f>
        <v>1</v>
      </c>
      <c r="BF412" s="49">
        <v>0</v>
      </c>
      <c r="BG412" s="50">
        <v>0</v>
      </c>
      <c r="BH412" s="49">
        <v>0</v>
      </c>
      <c r="BI412" s="50">
        <v>0</v>
      </c>
      <c r="BJ412" s="49">
        <v>0</v>
      </c>
      <c r="BK412" s="50">
        <v>0</v>
      </c>
      <c r="BL412" s="49">
        <v>6</v>
      </c>
      <c r="BM412" s="50">
        <v>100</v>
      </c>
      <c r="BN412" s="49">
        <v>6</v>
      </c>
    </row>
    <row r="413" spans="1:66" ht="15">
      <c r="A413" s="65" t="s">
        <v>347</v>
      </c>
      <c r="B413" s="65" t="s">
        <v>430</v>
      </c>
      <c r="C413" s="66" t="s">
        <v>5817</v>
      </c>
      <c r="D413" s="67">
        <v>1</v>
      </c>
      <c r="E413" s="68" t="s">
        <v>132</v>
      </c>
      <c r="F413" s="69">
        <v>32</v>
      </c>
      <c r="G413" s="66" t="s">
        <v>51</v>
      </c>
      <c r="H413" s="70"/>
      <c r="I413" s="71"/>
      <c r="J413" s="71"/>
      <c r="K413" s="35" t="s">
        <v>65</v>
      </c>
      <c r="L413" s="79">
        <v>413</v>
      </c>
      <c r="M413" s="79"/>
      <c r="N413" s="73"/>
      <c r="O413" s="90" t="s">
        <v>525</v>
      </c>
      <c r="P413" s="93">
        <v>44530.92365740741</v>
      </c>
      <c r="Q413" s="90" t="s">
        <v>576</v>
      </c>
      <c r="R413" s="90"/>
      <c r="S413" s="90"/>
      <c r="T413" s="97" t="s">
        <v>712</v>
      </c>
      <c r="U413" s="96" t="str">
        <f>HYPERLINK("https://pbs.twimg.com/media/FFc5qVTVQAkWXE2.jpg")</f>
        <v>https://pbs.twimg.com/media/FFc5qVTVQAkWXE2.jpg</v>
      </c>
      <c r="V413" s="96" t="str">
        <f>HYPERLINK("https://pbs.twimg.com/media/FFc5qVTVQAkWXE2.jpg")</f>
        <v>https://pbs.twimg.com/media/FFc5qVTVQAkWXE2.jpg</v>
      </c>
      <c r="W413" s="93">
        <v>44530.92365740741</v>
      </c>
      <c r="X413" s="100">
        <v>44530</v>
      </c>
      <c r="Y413" s="97" t="s">
        <v>903</v>
      </c>
      <c r="Z413" s="96" t="str">
        <f>HYPERLINK("https://twitter.com/coolseppo/status/1465805355401764878")</f>
        <v>https://twitter.com/coolseppo/status/1465805355401764878</v>
      </c>
      <c r="AA413" s="90"/>
      <c r="AB413" s="90"/>
      <c r="AC413" s="97" t="s">
        <v>1155</v>
      </c>
      <c r="AD413" s="90"/>
      <c r="AE413" s="90" t="b">
        <v>0</v>
      </c>
      <c r="AF413" s="90">
        <v>0</v>
      </c>
      <c r="AG413" s="97" t="s">
        <v>1338</v>
      </c>
      <c r="AH413" s="90" t="b">
        <v>0</v>
      </c>
      <c r="AI413" s="90" t="s">
        <v>1442</v>
      </c>
      <c r="AJ413" s="90"/>
      <c r="AK413" s="97" t="s">
        <v>1338</v>
      </c>
      <c r="AL413" s="90" t="b">
        <v>0</v>
      </c>
      <c r="AM413" s="90">
        <v>18</v>
      </c>
      <c r="AN413" s="97" t="s">
        <v>1196</v>
      </c>
      <c r="AO413" s="97" t="s">
        <v>1452</v>
      </c>
      <c r="AP413" s="90" t="b">
        <v>0</v>
      </c>
      <c r="AQ413" s="97" t="s">
        <v>1196</v>
      </c>
      <c r="AR413" s="90" t="s">
        <v>187</v>
      </c>
      <c r="AS413" s="90">
        <v>0</v>
      </c>
      <c r="AT413" s="90">
        <v>0</v>
      </c>
      <c r="AU413" s="90"/>
      <c r="AV413" s="90"/>
      <c r="AW413" s="90"/>
      <c r="AX413" s="90"/>
      <c r="AY413" s="90"/>
      <c r="AZ413" s="90"/>
      <c r="BA413" s="90"/>
      <c r="BB413" s="90"/>
      <c r="BC413">
        <v>1</v>
      </c>
      <c r="BD413" s="89" t="str">
        <f>REPLACE(INDEX(GroupVertices[Group],MATCH(Edges[[#This Row],[Vertex 1]],GroupVertices[Vertex],0)),1,1,"")</f>
        <v>3</v>
      </c>
      <c r="BE413" s="89" t="str">
        <f>REPLACE(INDEX(GroupVertices[Group],MATCH(Edges[[#This Row],[Vertex 2]],GroupVertices[Vertex],0)),1,1,"")</f>
        <v>3</v>
      </c>
      <c r="BF413" s="49"/>
      <c r="BG413" s="50"/>
      <c r="BH413" s="49"/>
      <c r="BI413" s="50"/>
      <c r="BJ413" s="49"/>
      <c r="BK413" s="50"/>
      <c r="BL413" s="49"/>
      <c r="BM413" s="50"/>
      <c r="BN413" s="49"/>
    </row>
    <row r="414" spans="1:66" ht="15">
      <c r="A414" s="65" t="s">
        <v>347</v>
      </c>
      <c r="B414" s="65" t="s">
        <v>431</v>
      </c>
      <c r="C414" s="66" t="s">
        <v>5817</v>
      </c>
      <c r="D414" s="67">
        <v>1</v>
      </c>
      <c r="E414" s="68" t="s">
        <v>132</v>
      </c>
      <c r="F414" s="69">
        <v>32</v>
      </c>
      <c r="G414" s="66" t="s">
        <v>51</v>
      </c>
      <c r="H414" s="70"/>
      <c r="I414" s="71"/>
      <c r="J414" s="71"/>
      <c r="K414" s="35" t="s">
        <v>65</v>
      </c>
      <c r="L414" s="79">
        <v>414</v>
      </c>
      <c r="M414" s="79"/>
      <c r="N414" s="73"/>
      <c r="O414" s="90" t="s">
        <v>525</v>
      </c>
      <c r="P414" s="93">
        <v>44530.92365740741</v>
      </c>
      <c r="Q414" s="90" t="s">
        <v>576</v>
      </c>
      <c r="R414" s="90"/>
      <c r="S414" s="90"/>
      <c r="T414" s="97" t="s">
        <v>712</v>
      </c>
      <c r="U414" s="96" t="str">
        <f>HYPERLINK("https://pbs.twimg.com/media/FFc5qVTVQAkWXE2.jpg")</f>
        <v>https://pbs.twimg.com/media/FFc5qVTVQAkWXE2.jpg</v>
      </c>
      <c r="V414" s="96" t="str">
        <f>HYPERLINK("https://pbs.twimg.com/media/FFc5qVTVQAkWXE2.jpg")</f>
        <v>https://pbs.twimg.com/media/FFc5qVTVQAkWXE2.jpg</v>
      </c>
      <c r="W414" s="93">
        <v>44530.92365740741</v>
      </c>
      <c r="X414" s="100">
        <v>44530</v>
      </c>
      <c r="Y414" s="97" t="s">
        <v>903</v>
      </c>
      <c r="Z414" s="96" t="str">
        <f>HYPERLINK("https://twitter.com/coolseppo/status/1465805355401764878")</f>
        <v>https://twitter.com/coolseppo/status/1465805355401764878</v>
      </c>
      <c r="AA414" s="90"/>
      <c r="AB414" s="90"/>
      <c r="AC414" s="97" t="s">
        <v>1155</v>
      </c>
      <c r="AD414" s="90"/>
      <c r="AE414" s="90" t="b">
        <v>0</v>
      </c>
      <c r="AF414" s="90">
        <v>0</v>
      </c>
      <c r="AG414" s="97" t="s">
        <v>1338</v>
      </c>
      <c r="AH414" s="90" t="b">
        <v>0</v>
      </c>
      <c r="AI414" s="90" t="s">
        <v>1442</v>
      </c>
      <c r="AJ414" s="90"/>
      <c r="AK414" s="97" t="s">
        <v>1338</v>
      </c>
      <c r="AL414" s="90" t="b">
        <v>0</v>
      </c>
      <c r="AM414" s="90">
        <v>18</v>
      </c>
      <c r="AN414" s="97" t="s">
        <v>1196</v>
      </c>
      <c r="AO414" s="97" t="s">
        <v>1452</v>
      </c>
      <c r="AP414" s="90" t="b">
        <v>0</v>
      </c>
      <c r="AQ414" s="97" t="s">
        <v>1196</v>
      </c>
      <c r="AR414" s="90" t="s">
        <v>187</v>
      </c>
      <c r="AS414" s="90">
        <v>0</v>
      </c>
      <c r="AT414" s="90">
        <v>0</v>
      </c>
      <c r="AU414" s="90"/>
      <c r="AV414" s="90"/>
      <c r="AW414" s="90"/>
      <c r="AX414" s="90"/>
      <c r="AY414" s="90"/>
      <c r="AZ414" s="90"/>
      <c r="BA414" s="90"/>
      <c r="BB414" s="90"/>
      <c r="BC414">
        <v>1</v>
      </c>
      <c r="BD414" s="89" t="str">
        <f>REPLACE(INDEX(GroupVertices[Group],MATCH(Edges[[#This Row],[Vertex 1]],GroupVertices[Vertex],0)),1,1,"")</f>
        <v>3</v>
      </c>
      <c r="BE414" s="89" t="str">
        <f>REPLACE(INDEX(GroupVertices[Group],MATCH(Edges[[#This Row],[Vertex 2]],GroupVertices[Vertex],0)),1,1,"")</f>
        <v>3</v>
      </c>
      <c r="BF414" s="49"/>
      <c r="BG414" s="50"/>
      <c r="BH414" s="49"/>
      <c r="BI414" s="50"/>
      <c r="BJ414" s="49"/>
      <c r="BK414" s="50"/>
      <c r="BL414" s="49"/>
      <c r="BM414" s="50"/>
      <c r="BN414" s="49"/>
    </row>
    <row r="415" spans="1:66" ht="15">
      <c r="A415" s="65" t="s">
        <v>347</v>
      </c>
      <c r="B415" s="65" t="s">
        <v>368</v>
      </c>
      <c r="C415" s="66" t="s">
        <v>5817</v>
      </c>
      <c r="D415" s="67">
        <v>1</v>
      </c>
      <c r="E415" s="68" t="s">
        <v>132</v>
      </c>
      <c r="F415" s="69">
        <v>32</v>
      </c>
      <c r="G415" s="66" t="s">
        <v>51</v>
      </c>
      <c r="H415" s="70"/>
      <c r="I415" s="71"/>
      <c r="J415" s="71"/>
      <c r="K415" s="35" t="s">
        <v>65</v>
      </c>
      <c r="L415" s="79">
        <v>415</v>
      </c>
      <c r="M415" s="79"/>
      <c r="N415" s="73"/>
      <c r="O415" s="90" t="s">
        <v>522</v>
      </c>
      <c r="P415" s="93">
        <v>44530.92365740741</v>
      </c>
      <c r="Q415" s="90" t="s">
        <v>576</v>
      </c>
      <c r="R415" s="90"/>
      <c r="S415" s="90"/>
      <c r="T415" s="97" t="s">
        <v>712</v>
      </c>
      <c r="U415" s="96" t="str">
        <f>HYPERLINK("https://pbs.twimg.com/media/FFc5qVTVQAkWXE2.jpg")</f>
        <v>https://pbs.twimg.com/media/FFc5qVTVQAkWXE2.jpg</v>
      </c>
      <c r="V415" s="96" t="str">
        <f>HYPERLINK("https://pbs.twimg.com/media/FFc5qVTVQAkWXE2.jpg")</f>
        <v>https://pbs.twimg.com/media/FFc5qVTVQAkWXE2.jpg</v>
      </c>
      <c r="W415" s="93">
        <v>44530.92365740741</v>
      </c>
      <c r="X415" s="100">
        <v>44530</v>
      </c>
      <c r="Y415" s="97" t="s">
        <v>903</v>
      </c>
      <c r="Z415" s="96" t="str">
        <f>HYPERLINK("https://twitter.com/coolseppo/status/1465805355401764878")</f>
        <v>https://twitter.com/coolseppo/status/1465805355401764878</v>
      </c>
      <c r="AA415" s="90"/>
      <c r="AB415" s="90"/>
      <c r="AC415" s="97" t="s">
        <v>1155</v>
      </c>
      <c r="AD415" s="90"/>
      <c r="AE415" s="90" t="b">
        <v>0</v>
      </c>
      <c r="AF415" s="90">
        <v>0</v>
      </c>
      <c r="AG415" s="97" t="s">
        <v>1338</v>
      </c>
      <c r="AH415" s="90" t="b">
        <v>0</v>
      </c>
      <c r="AI415" s="90" t="s">
        <v>1442</v>
      </c>
      <c r="AJ415" s="90"/>
      <c r="AK415" s="97" t="s">
        <v>1338</v>
      </c>
      <c r="AL415" s="90" t="b">
        <v>0</v>
      </c>
      <c r="AM415" s="90">
        <v>18</v>
      </c>
      <c r="AN415" s="97" t="s">
        <v>1196</v>
      </c>
      <c r="AO415" s="97" t="s">
        <v>1452</v>
      </c>
      <c r="AP415" s="90" t="b">
        <v>0</v>
      </c>
      <c r="AQ415" s="97" t="s">
        <v>1196</v>
      </c>
      <c r="AR415" s="90" t="s">
        <v>187</v>
      </c>
      <c r="AS415" s="90">
        <v>0</v>
      </c>
      <c r="AT415" s="90">
        <v>0</v>
      </c>
      <c r="AU415" s="90"/>
      <c r="AV415" s="90"/>
      <c r="AW415" s="90"/>
      <c r="AX415" s="90"/>
      <c r="AY415" s="90"/>
      <c r="AZ415" s="90"/>
      <c r="BA415" s="90"/>
      <c r="BB415" s="90"/>
      <c r="BC415">
        <v>1</v>
      </c>
      <c r="BD415" s="89" t="str">
        <f>REPLACE(INDEX(GroupVertices[Group],MATCH(Edges[[#This Row],[Vertex 1]],GroupVertices[Vertex],0)),1,1,"")</f>
        <v>3</v>
      </c>
      <c r="BE415" s="89" t="str">
        <f>REPLACE(INDEX(GroupVertices[Group],MATCH(Edges[[#This Row],[Vertex 2]],GroupVertices[Vertex],0)),1,1,"")</f>
        <v>3</v>
      </c>
      <c r="BF415" s="49">
        <v>0</v>
      </c>
      <c r="BG415" s="50">
        <v>0</v>
      </c>
      <c r="BH415" s="49">
        <v>0</v>
      </c>
      <c r="BI415" s="50">
        <v>0</v>
      </c>
      <c r="BJ415" s="49">
        <v>0</v>
      </c>
      <c r="BK415" s="50">
        <v>0</v>
      </c>
      <c r="BL415" s="49">
        <v>13</v>
      </c>
      <c r="BM415" s="50">
        <v>100</v>
      </c>
      <c r="BN415" s="49">
        <v>13</v>
      </c>
    </row>
    <row r="416" spans="1:66" ht="15">
      <c r="A416" s="65" t="s">
        <v>347</v>
      </c>
      <c r="B416" s="65" t="s">
        <v>374</v>
      </c>
      <c r="C416" s="66" t="s">
        <v>5817</v>
      </c>
      <c r="D416" s="67">
        <v>1</v>
      </c>
      <c r="E416" s="68" t="s">
        <v>132</v>
      </c>
      <c r="F416" s="69">
        <v>32</v>
      </c>
      <c r="G416" s="66" t="s">
        <v>51</v>
      </c>
      <c r="H416" s="70"/>
      <c r="I416" s="71"/>
      <c r="J416" s="71"/>
      <c r="K416" s="35" t="s">
        <v>65</v>
      </c>
      <c r="L416" s="79">
        <v>416</v>
      </c>
      <c r="M416" s="79"/>
      <c r="N416" s="73"/>
      <c r="O416" s="90" t="s">
        <v>522</v>
      </c>
      <c r="P416" s="93">
        <v>44532.81701388889</v>
      </c>
      <c r="Q416" s="90" t="s">
        <v>656</v>
      </c>
      <c r="R416" s="96" t="str">
        <f>HYPERLINK("https://twitter.com/millatiuni/status/1466446380843606025")</f>
        <v>https://twitter.com/millatiuni/status/1466446380843606025</v>
      </c>
      <c r="S416" s="90" t="s">
        <v>693</v>
      </c>
      <c r="T416" s="90"/>
      <c r="U416" s="90"/>
      <c r="V416" s="96" t="str">
        <f>HYPERLINK("https://pbs.twimg.com/profile_images/1422596984846880768/LfM8VixL_normal.jpg")</f>
        <v>https://pbs.twimg.com/profile_images/1422596984846880768/LfM8VixL_normal.jpg</v>
      </c>
      <c r="W416" s="93">
        <v>44532.81701388889</v>
      </c>
      <c r="X416" s="100">
        <v>44532</v>
      </c>
      <c r="Y416" s="97" t="s">
        <v>904</v>
      </c>
      <c r="Z416" s="96" t="str">
        <f>HYPERLINK("https://twitter.com/coolseppo/status/1466491485709340677")</f>
        <v>https://twitter.com/coolseppo/status/1466491485709340677</v>
      </c>
      <c r="AA416" s="90"/>
      <c r="AB416" s="90"/>
      <c r="AC416" s="97" t="s">
        <v>1156</v>
      </c>
      <c r="AD416" s="90"/>
      <c r="AE416" s="90" t="b">
        <v>0</v>
      </c>
      <c r="AF416" s="90">
        <v>0</v>
      </c>
      <c r="AG416" s="97" t="s">
        <v>1338</v>
      </c>
      <c r="AH416" s="90" t="b">
        <v>1</v>
      </c>
      <c r="AI416" s="90" t="s">
        <v>1442</v>
      </c>
      <c r="AJ416" s="90"/>
      <c r="AK416" s="97" t="s">
        <v>1448</v>
      </c>
      <c r="AL416" s="90" t="b">
        <v>0</v>
      </c>
      <c r="AM416" s="90">
        <v>29</v>
      </c>
      <c r="AN416" s="97" t="s">
        <v>1218</v>
      </c>
      <c r="AO416" s="97" t="s">
        <v>1452</v>
      </c>
      <c r="AP416" s="90" t="b">
        <v>0</v>
      </c>
      <c r="AQ416" s="97" t="s">
        <v>1218</v>
      </c>
      <c r="AR416" s="90" t="s">
        <v>187</v>
      </c>
      <c r="AS416" s="90">
        <v>0</v>
      </c>
      <c r="AT416" s="90">
        <v>0</v>
      </c>
      <c r="AU416" s="90"/>
      <c r="AV416" s="90"/>
      <c r="AW416" s="90"/>
      <c r="AX416" s="90"/>
      <c r="AY416" s="90"/>
      <c r="AZ416" s="90"/>
      <c r="BA416" s="90"/>
      <c r="BB416" s="90"/>
      <c r="BC416">
        <v>1</v>
      </c>
      <c r="BD416" s="89" t="str">
        <f>REPLACE(INDEX(GroupVertices[Group],MATCH(Edges[[#This Row],[Vertex 1]],GroupVertices[Vertex],0)),1,1,"")</f>
        <v>3</v>
      </c>
      <c r="BE416" s="89" t="str">
        <f>REPLACE(INDEX(GroupVertices[Group],MATCH(Edges[[#This Row],[Vertex 2]],GroupVertices[Vertex],0)),1,1,"")</f>
        <v>1</v>
      </c>
      <c r="BF416" s="49">
        <v>0</v>
      </c>
      <c r="BG416" s="50">
        <v>0</v>
      </c>
      <c r="BH416" s="49">
        <v>0</v>
      </c>
      <c r="BI416" s="50">
        <v>0</v>
      </c>
      <c r="BJ416" s="49">
        <v>0</v>
      </c>
      <c r="BK416" s="50">
        <v>0</v>
      </c>
      <c r="BL416" s="49">
        <v>6</v>
      </c>
      <c r="BM416" s="50">
        <v>100</v>
      </c>
      <c r="BN416" s="49">
        <v>6</v>
      </c>
    </row>
    <row r="417" spans="1:66" ht="15">
      <c r="A417" s="65" t="s">
        <v>348</v>
      </c>
      <c r="B417" s="65" t="s">
        <v>349</v>
      </c>
      <c r="C417" s="66" t="s">
        <v>5817</v>
      </c>
      <c r="D417" s="67">
        <v>1</v>
      </c>
      <c r="E417" s="68" t="s">
        <v>132</v>
      </c>
      <c r="F417" s="69">
        <v>32</v>
      </c>
      <c r="G417" s="66" t="s">
        <v>51</v>
      </c>
      <c r="H417" s="70"/>
      <c r="I417" s="71"/>
      <c r="J417" s="71"/>
      <c r="K417" s="35" t="s">
        <v>66</v>
      </c>
      <c r="L417" s="79">
        <v>417</v>
      </c>
      <c r="M417" s="79"/>
      <c r="N417" s="73"/>
      <c r="O417" s="90" t="s">
        <v>523</v>
      </c>
      <c r="P417" s="93">
        <v>44525.87465277778</v>
      </c>
      <c r="Q417" s="90" t="s">
        <v>657</v>
      </c>
      <c r="R417" s="90"/>
      <c r="S417" s="90"/>
      <c r="T417" s="90"/>
      <c r="U417" s="90"/>
      <c r="V417" s="96" t="str">
        <f>HYPERLINK("https://pbs.twimg.com/profile_images/927971306208931840/kn3MK9p6_normal.jpg")</f>
        <v>https://pbs.twimg.com/profile_images/927971306208931840/kn3MK9p6_normal.jpg</v>
      </c>
      <c r="W417" s="93">
        <v>44525.87465277778</v>
      </c>
      <c r="X417" s="100">
        <v>44525</v>
      </c>
      <c r="Y417" s="97" t="s">
        <v>905</v>
      </c>
      <c r="Z417" s="96" t="str">
        <f>HYPERLINK("https://twitter.com/raitziger/status/1463975657877254149")</f>
        <v>https://twitter.com/raitziger/status/1463975657877254149</v>
      </c>
      <c r="AA417" s="90"/>
      <c r="AB417" s="90"/>
      <c r="AC417" s="97" t="s">
        <v>1157</v>
      </c>
      <c r="AD417" s="97" t="s">
        <v>1312</v>
      </c>
      <c r="AE417" s="90" t="b">
        <v>0</v>
      </c>
      <c r="AF417" s="90">
        <v>5</v>
      </c>
      <c r="AG417" s="97" t="s">
        <v>1340</v>
      </c>
      <c r="AH417" s="90" t="b">
        <v>0</v>
      </c>
      <c r="AI417" s="90" t="s">
        <v>1442</v>
      </c>
      <c r="AJ417" s="90"/>
      <c r="AK417" s="97" t="s">
        <v>1338</v>
      </c>
      <c r="AL417" s="90" t="b">
        <v>0</v>
      </c>
      <c r="AM417" s="90">
        <v>0</v>
      </c>
      <c r="AN417" s="97" t="s">
        <v>1338</v>
      </c>
      <c r="AO417" s="97" t="s">
        <v>1452</v>
      </c>
      <c r="AP417" s="90" t="b">
        <v>0</v>
      </c>
      <c r="AQ417" s="97" t="s">
        <v>1312</v>
      </c>
      <c r="AR417" s="90" t="s">
        <v>187</v>
      </c>
      <c r="AS417" s="90">
        <v>0</v>
      </c>
      <c r="AT417" s="90">
        <v>0</v>
      </c>
      <c r="AU417" s="90"/>
      <c r="AV417" s="90"/>
      <c r="AW417" s="90"/>
      <c r="AX417" s="90"/>
      <c r="AY417" s="90"/>
      <c r="AZ417" s="90"/>
      <c r="BA417" s="90"/>
      <c r="BB417" s="90"/>
      <c r="BC417">
        <v>1</v>
      </c>
      <c r="BD417" s="89" t="str">
        <f>REPLACE(INDEX(GroupVertices[Group],MATCH(Edges[[#This Row],[Vertex 1]],GroupVertices[Vertex],0)),1,1,"")</f>
        <v>5</v>
      </c>
      <c r="BE417" s="89" t="str">
        <f>REPLACE(INDEX(GroupVertices[Group],MATCH(Edges[[#This Row],[Vertex 2]],GroupVertices[Vertex],0)),1,1,"")</f>
        <v>5</v>
      </c>
      <c r="BF417" s="49">
        <v>0</v>
      </c>
      <c r="BG417" s="50">
        <v>0</v>
      </c>
      <c r="BH417" s="49">
        <v>0</v>
      </c>
      <c r="BI417" s="50">
        <v>0</v>
      </c>
      <c r="BJ417" s="49">
        <v>0</v>
      </c>
      <c r="BK417" s="50">
        <v>0</v>
      </c>
      <c r="BL417" s="49">
        <v>24</v>
      </c>
      <c r="BM417" s="50">
        <v>100</v>
      </c>
      <c r="BN417" s="49">
        <v>24</v>
      </c>
    </row>
    <row r="418" spans="1:66" ht="15">
      <c r="A418" s="65" t="s">
        <v>349</v>
      </c>
      <c r="B418" s="65" t="s">
        <v>348</v>
      </c>
      <c r="C418" s="66" t="s">
        <v>5817</v>
      </c>
      <c r="D418" s="67">
        <v>1</v>
      </c>
      <c r="E418" s="68" t="s">
        <v>132</v>
      </c>
      <c r="F418" s="69">
        <v>32</v>
      </c>
      <c r="G418" s="66" t="s">
        <v>51</v>
      </c>
      <c r="H418" s="70"/>
      <c r="I418" s="71"/>
      <c r="J418" s="71"/>
      <c r="K418" s="35" t="s">
        <v>66</v>
      </c>
      <c r="L418" s="79">
        <v>418</v>
      </c>
      <c r="M418" s="79"/>
      <c r="N418" s="73"/>
      <c r="O418" s="90" t="s">
        <v>523</v>
      </c>
      <c r="P418" s="93">
        <v>44525.87636574074</v>
      </c>
      <c r="Q418" s="90" t="s">
        <v>658</v>
      </c>
      <c r="R418" s="90"/>
      <c r="S418" s="90"/>
      <c r="T418" s="90"/>
      <c r="U418" s="90"/>
      <c r="V418" s="96" t="str">
        <f>HYPERLINK("https://pbs.twimg.com/profile_images/1393874518343667713/26qXQ9--_normal.jpg")</f>
        <v>https://pbs.twimg.com/profile_images/1393874518343667713/26qXQ9--_normal.jpg</v>
      </c>
      <c r="W418" s="93">
        <v>44525.87636574074</v>
      </c>
      <c r="X418" s="100">
        <v>44525</v>
      </c>
      <c r="Y418" s="97" t="s">
        <v>906</v>
      </c>
      <c r="Z418" s="96" t="str">
        <f>HYPERLINK("https://twitter.com/leanvaltio/status/1463976278449700867")</f>
        <v>https://twitter.com/leanvaltio/status/1463976278449700867</v>
      </c>
      <c r="AA418" s="90"/>
      <c r="AB418" s="90"/>
      <c r="AC418" s="97" t="s">
        <v>1158</v>
      </c>
      <c r="AD418" s="97" t="s">
        <v>1157</v>
      </c>
      <c r="AE418" s="90" t="b">
        <v>0</v>
      </c>
      <c r="AF418" s="90">
        <v>7</v>
      </c>
      <c r="AG418" s="97" t="s">
        <v>1421</v>
      </c>
      <c r="AH418" s="90" t="b">
        <v>0</v>
      </c>
      <c r="AI418" s="90" t="s">
        <v>1442</v>
      </c>
      <c r="AJ418" s="90"/>
      <c r="AK418" s="97" t="s">
        <v>1338</v>
      </c>
      <c r="AL418" s="90" t="b">
        <v>0</v>
      </c>
      <c r="AM418" s="90">
        <v>0</v>
      </c>
      <c r="AN418" s="97" t="s">
        <v>1338</v>
      </c>
      <c r="AO418" s="97" t="s">
        <v>1450</v>
      </c>
      <c r="AP418" s="90" t="b">
        <v>0</v>
      </c>
      <c r="AQ418" s="97" t="s">
        <v>1157</v>
      </c>
      <c r="AR418" s="90" t="s">
        <v>187</v>
      </c>
      <c r="AS418" s="90">
        <v>0</v>
      </c>
      <c r="AT418" s="90">
        <v>0</v>
      </c>
      <c r="AU418" s="90"/>
      <c r="AV418" s="90"/>
      <c r="AW418" s="90"/>
      <c r="AX418" s="90"/>
      <c r="AY418" s="90"/>
      <c r="AZ418" s="90"/>
      <c r="BA418" s="90"/>
      <c r="BB418" s="90"/>
      <c r="BC418">
        <v>1</v>
      </c>
      <c r="BD418" s="89" t="str">
        <f>REPLACE(INDEX(GroupVertices[Group],MATCH(Edges[[#This Row],[Vertex 1]],GroupVertices[Vertex],0)),1,1,"")</f>
        <v>5</v>
      </c>
      <c r="BE418" s="89" t="str">
        <f>REPLACE(INDEX(GroupVertices[Group],MATCH(Edges[[#This Row],[Vertex 2]],GroupVertices[Vertex],0)),1,1,"")</f>
        <v>5</v>
      </c>
      <c r="BF418" s="49">
        <v>1</v>
      </c>
      <c r="BG418" s="50">
        <v>2.857142857142857</v>
      </c>
      <c r="BH418" s="49">
        <v>0</v>
      </c>
      <c r="BI418" s="50">
        <v>0</v>
      </c>
      <c r="BJ418" s="49">
        <v>0</v>
      </c>
      <c r="BK418" s="50">
        <v>0</v>
      </c>
      <c r="BL418" s="49">
        <v>34</v>
      </c>
      <c r="BM418" s="50">
        <v>97.14285714285714</v>
      </c>
      <c r="BN418" s="49">
        <v>35</v>
      </c>
    </row>
    <row r="419" spans="1:66" ht="15">
      <c r="A419" s="65" t="s">
        <v>349</v>
      </c>
      <c r="B419" s="65" t="s">
        <v>348</v>
      </c>
      <c r="C419" s="66" t="s">
        <v>5817</v>
      </c>
      <c r="D419" s="67">
        <v>1</v>
      </c>
      <c r="E419" s="68" t="s">
        <v>132</v>
      </c>
      <c r="F419" s="69">
        <v>32</v>
      </c>
      <c r="G419" s="66" t="s">
        <v>51</v>
      </c>
      <c r="H419" s="70"/>
      <c r="I419" s="71"/>
      <c r="J419" s="71"/>
      <c r="K419" s="35" t="s">
        <v>66</v>
      </c>
      <c r="L419" s="79">
        <v>419</v>
      </c>
      <c r="M419" s="79"/>
      <c r="N419" s="73"/>
      <c r="O419" s="90" t="s">
        <v>524</v>
      </c>
      <c r="P419" s="93">
        <v>44526.23923611111</v>
      </c>
      <c r="Q419" s="90" t="s">
        <v>659</v>
      </c>
      <c r="R419" s="96" t="str">
        <f>HYPERLINK("https://www.reddit.com/r/conspiracy/comments/pkcl0k/im_a_physician_from_egypt_thats_the_latest_update/")</f>
        <v>https://www.reddit.com/r/conspiracy/comments/pkcl0k/im_a_physician_from_egypt_thats_the_latest_update/</v>
      </c>
      <c r="S419" s="90" t="s">
        <v>709</v>
      </c>
      <c r="T419" s="90"/>
      <c r="U419" s="96" t="str">
        <f>HYPERLINK("https://pbs.twimg.com/media/FFGNrpZXMAIDSez.jpg")</f>
        <v>https://pbs.twimg.com/media/FFGNrpZXMAIDSez.jpg</v>
      </c>
      <c r="V419" s="96" t="str">
        <f>HYPERLINK("https://pbs.twimg.com/media/FFGNrpZXMAIDSez.jpg")</f>
        <v>https://pbs.twimg.com/media/FFGNrpZXMAIDSez.jpg</v>
      </c>
      <c r="W419" s="93">
        <v>44526.23923611111</v>
      </c>
      <c r="X419" s="100">
        <v>44526</v>
      </c>
      <c r="Y419" s="97" t="s">
        <v>907</v>
      </c>
      <c r="Z419" s="96" t="str">
        <f>HYPERLINK("https://twitter.com/leanvaltio/status/1464107776381263872")</f>
        <v>https://twitter.com/leanvaltio/status/1464107776381263872</v>
      </c>
      <c r="AA419" s="90"/>
      <c r="AB419" s="90"/>
      <c r="AC419" s="97" t="s">
        <v>1159</v>
      </c>
      <c r="AD419" s="97" t="s">
        <v>1313</v>
      </c>
      <c r="AE419" s="90" t="b">
        <v>0</v>
      </c>
      <c r="AF419" s="90">
        <v>2</v>
      </c>
      <c r="AG419" s="97" t="s">
        <v>1422</v>
      </c>
      <c r="AH419" s="90" t="b">
        <v>0</v>
      </c>
      <c r="AI419" s="90" t="s">
        <v>1442</v>
      </c>
      <c r="AJ419" s="90"/>
      <c r="AK419" s="97" t="s">
        <v>1338</v>
      </c>
      <c r="AL419" s="90" t="b">
        <v>0</v>
      </c>
      <c r="AM419" s="90">
        <v>0</v>
      </c>
      <c r="AN419" s="97" t="s">
        <v>1338</v>
      </c>
      <c r="AO419" s="97" t="s">
        <v>1450</v>
      </c>
      <c r="AP419" s="90" t="b">
        <v>0</v>
      </c>
      <c r="AQ419" s="97" t="s">
        <v>1313</v>
      </c>
      <c r="AR419" s="90" t="s">
        <v>187</v>
      </c>
      <c r="AS419" s="90">
        <v>0</v>
      </c>
      <c r="AT419" s="90">
        <v>0</v>
      </c>
      <c r="AU419" s="90"/>
      <c r="AV419" s="90"/>
      <c r="AW419" s="90"/>
      <c r="AX419" s="90"/>
      <c r="AY419" s="90"/>
      <c r="AZ419" s="90"/>
      <c r="BA419" s="90"/>
      <c r="BB419" s="90"/>
      <c r="BC419">
        <v>1</v>
      </c>
      <c r="BD419" s="89" t="str">
        <f>REPLACE(INDEX(GroupVertices[Group],MATCH(Edges[[#This Row],[Vertex 1]],GroupVertices[Vertex],0)),1,1,"")</f>
        <v>5</v>
      </c>
      <c r="BE419" s="89" t="str">
        <f>REPLACE(INDEX(GroupVertices[Group],MATCH(Edges[[#This Row],[Vertex 2]],GroupVertices[Vertex],0)),1,1,"")</f>
        <v>5</v>
      </c>
      <c r="BF419" s="49"/>
      <c r="BG419" s="50"/>
      <c r="BH419" s="49"/>
      <c r="BI419" s="50"/>
      <c r="BJ419" s="49"/>
      <c r="BK419" s="50"/>
      <c r="BL419" s="49"/>
      <c r="BM419" s="50"/>
      <c r="BN419" s="49"/>
    </row>
    <row r="420" spans="1:66" ht="15">
      <c r="A420" s="65" t="s">
        <v>349</v>
      </c>
      <c r="B420" s="65" t="s">
        <v>496</v>
      </c>
      <c r="C420" s="66" t="s">
        <v>5817</v>
      </c>
      <c r="D420" s="67">
        <v>1</v>
      </c>
      <c r="E420" s="68" t="s">
        <v>132</v>
      </c>
      <c r="F420" s="69">
        <v>32</v>
      </c>
      <c r="G420" s="66" t="s">
        <v>51</v>
      </c>
      <c r="H420" s="70"/>
      <c r="I420" s="71"/>
      <c r="J420" s="71"/>
      <c r="K420" s="35" t="s">
        <v>65</v>
      </c>
      <c r="L420" s="79">
        <v>420</v>
      </c>
      <c r="M420" s="79"/>
      <c r="N420" s="73"/>
      <c r="O420" s="90" t="s">
        <v>523</v>
      </c>
      <c r="P420" s="93">
        <v>44526.23923611111</v>
      </c>
      <c r="Q420" s="90" t="s">
        <v>659</v>
      </c>
      <c r="R420" s="96" t="str">
        <f>HYPERLINK("https://www.reddit.com/r/conspiracy/comments/pkcl0k/im_a_physician_from_egypt_thats_the_latest_update/")</f>
        <v>https://www.reddit.com/r/conspiracy/comments/pkcl0k/im_a_physician_from_egypt_thats_the_latest_update/</v>
      </c>
      <c r="S420" s="90" t="s">
        <v>709</v>
      </c>
      <c r="T420" s="90"/>
      <c r="U420" s="96" t="str">
        <f>HYPERLINK("https://pbs.twimg.com/media/FFGNrpZXMAIDSez.jpg")</f>
        <v>https://pbs.twimg.com/media/FFGNrpZXMAIDSez.jpg</v>
      </c>
      <c r="V420" s="96" t="str">
        <f>HYPERLINK("https://pbs.twimg.com/media/FFGNrpZXMAIDSez.jpg")</f>
        <v>https://pbs.twimg.com/media/FFGNrpZXMAIDSez.jpg</v>
      </c>
      <c r="W420" s="93">
        <v>44526.23923611111</v>
      </c>
      <c r="X420" s="100">
        <v>44526</v>
      </c>
      <c r="Y420" s="97" t="s">
        <v>907</v>
      </c>
      <c r="Z420" s="96" t="str">
        <f>HYPERLINK("https://twitter.com/leanvaltio/status/1464107776381263872")</f>
        <v>https://twitter.com/leanvaltio/status/1464107776381263872</v>
      </c>
      <c r="AA420" s="90"/>
      <c r="AB420" s="90"/>
      <c r="AC420" s="97" t="s">
        <v>1159</v>
      </c>
      <c r="AD420" s="97" t="s">
        <v>1313</v>
      </c>
      <c r="AE420" s="90" t="b">
        <v>0</v>
      </c>
      <c r="AF420" s="90">
        <v>2</v>
      </c>
      <c r="AG420" s="97" t="s">
        <v>1422</v>
      </c>
      <c r="AH420" s="90" t="b">
        <v>0</v>
      </c>
      <c r="AI420" s="90" t="s">
        <v>1442</v>
      </c>
      <c r="AJ420" s="90"/>
      <c r="AK420" s="97" t="s">
        <v>1338</v>
      </c>
      <c r="AL420" s="90" t="b">
        <v>0</v>
      </c>
      <c r="AM420" s="90">
        <v>0</v>
      </c>
      <c r="AN420" s="97" t="s">
        <v>1338</v>
      </c>
      <c r="AO420" s="97" t="s">
        <v>1450</v>
      </c>
      <c r="AP420" s="90" t="b">
        <v>0</v>
      </c>
      <c r="AQ420" s="97" t="s">
        <v>1313</v>
      </c>
      <c r="AR420" s="90" t="s">
        <v>187</v>
      </c>
      <c r="AS420" s="90">
        <v>0</v>
      </c>
      <c r="AT420" s="90">
        <v>0</v>
      </c>
      <c r="AU420" s="90"/>
      <c r="AV420" s="90"/>
      <c r="AW420" s="90"/>
      <c r="AX420" s="90"/>
      <c r="AY420" s="90"/>
      <c r="AZ420" s="90"/>
      <c r="BA420" s="90"/>
      <c r="BB420" s="90"/>
      <c r="BC420">
        <v>1</v>
      </c>
      <c r="BD420" s="89" t="str">
        <f>REPLACE(INDEX(GroupVertices[Group],MATCH(Edges[[#This Row],[Vertex 1]],GroupVertices[Vertex],0)),1,1,"")</f>
        <v>5</v>
      </c>
      <c r="BE420" s="89" t="str">
        <f>REPLACE(INDEX(GroupVertices[Group],MATCH(Edges[[#This Row],[Vertex 2]],GroupVertices[Vertex],0)),1,1,"")</f>
        <v>5</v>
      </c>
      <c r="BF420" s="49">
        <v>0</v>
      </c>
      <c r="BG420" s="50">
        <v>0</v>
      </c>
      <c r="BH420" s="49">
        <v>0</v>
      </c>
      <c r="BI420" s="50">
        <v>0</v>
      </c>
      <c r="BJ420" s="49">
        <v>0</v>
      </c>
      <c r="BK420" s="50">
        <v>0</v>
      </c>
      <c r="BL420" s="49">
        <v>35</v>
      </c>
      <c r="BM420" s="50">
        <v>100</v>
      </c>
      <c r="BN420" s="49">
        <v>35</v>
      </c>
    </row>
    <row r="421" spans="1:66" ht="15">
      <c r="A421" s="65" t="s">
        <v>349</v>
      </c>
      <c r="B421" s="65" t="s">
        <v>497</v>
      </c>
      <c r="C421" s="66" t="s">
        <v>5817</v>
      </c>
      <c r="D421" s="67">
        <v>1</v>
      </c>
      <c r="E421" s="68" t="s">
        <v>132</v>
      </c>
      <c r="F421" s="69">
        <v>32</v>
      </c>
      <c r="G421" s="66" t="s">
        <v>51</v>
      </c>
      <c r="H421" s="70"/>
      <c r="I421" s="71"/>
      <c r="J421" s="71"/>
      <c r="K421" s="35" t="s">
        <v>65</v>
      </c>
      <c r="L421" s="79">
        <v>421</v>
      </c>
      <c r="M421" s="79"/>
      <c r="N421" s="73"/>
      <c r="O421" s="90" t="s">
        <v>523</v>
      </c>
      <c r="P421" s="93">
        <v>44526.97149305556</v>
      </c>
      <c r="Q421" s="90" t="s">
        <v>660</v>
      </c>
      <c r="R421" s="90"/>
      <c r="S421" s="90"/>
      <c r="T421" s="90"/>
      <c r="U421" s="90"/>
      <c r="V421" s="96" t="str">
        <f>HYPERLINK("https://pbs.twimg.com/profile_images/1393874518343667713/26qXQ9--_normal.jpg")</f>
        <v>https://pbs.twimg.com/profile_images/1393874518343667713/26qXQ9--_normal.jpg</v>
      </c>
      <c r="W421" s="93">
        <v>44526.97149305556</v>
      </c>
      <c r="X421" s="100">
        <v>44526</v>
      </c>
      <c r="Y421" s="97" t="s">
        <v>908</v>
      </c>
      <c r="Z421" s="96" t="str">
        <f>HYPERLINK("https://twitter.com/leanvaltio/status/1464373138238709763")</f>
        <v>https://twitter.com/leanvaltio/status/1464373138238709763</v>
      </c>
      <c r="AA421" s="90"/>
      <c r="AB421" s="90"/>
      <c r="AC421" s="97" t="s">
        <v>1160</v>
      </c>
      <c r="AD421" s="97" t="s">
        <v>1314</v>
      </c>
      <c r="AE421" s="90" t="b">
        <v>0</v>
      </c>
      <c r="AF421" s="90">
        <v>3</v>
      </c>
      <c r="AG421" s="97" t="s">
        <v>1423</v>
      </c>
      <c r="AH421" s="90" t="b">
        <v>0</v>
      </c>
      <c r="AI421" s="90" t="s">
        <v>1442</v>
      </c>
      <c r="AJ421" s="90"/>
      <c r="AK421" s="97" t="s">
        <v>1338</v>
      </c>
      <c r="AL421" s="90" t="b">
        <v>0</v>
      </c>
      <c r="AM421" s="90">
        <v>0</v>
      </c>
      <c r="AN421" s="97" t="s">
        <v>1338</v>
      </c>
      <c r="AO421" s="97" t="s">
        <v>1450</v>
      </c>
      <c r="AP421" s="90" t="b">
        <v>0</v>
      </c>
      <c r="AQ421" s="97" t="s">
        <v>1314</v>
      </c>
      <c r="AR421" s="90" t="s">
        <v>187</v>
      </c>
      <c r="AS421" s="90">
        <v>0</v>
      </c>
      <c r="AT421" s="90">
        <v>0</v>
      </c>
      <c r="AU421" s="90"/>
      <c r="AV421" s="90"/>
      <c r="AW421" s="90"/>
      <c r="AX421" s="90"/>
      <c r="AY421" s="90"/>
      <c r="AZ421" s="90"/>
      <c r="BA421" s="90"/>
      <c r="BB421" s="90"/>
      <c r="BC421">
        <v>1</v>
      </c>
      <c r="BD421" s="89" t="str">
        <f>REPLACE(INDEX(GroupVertices[Group],MATCH(Edges[[#This Row],[Vertex 1]],GroupVertices[Vertex],0)),1,1,"")</f>
        <v>5</v>
      </c>
      <c r="BE421" s="89" t="str">
        <f>REPLACE(INDEX(GroupVertices[Group],MATCH(Edges[[#This Row],[Vertex 2]],GroupVertices[Vertex],0)),1,1,"")</f>
        <v>5</v>
      </c>
      <c r="BF421" s="49">
        <v>0</v>
      </c>
      <c r="BG421" s="50">
        <v>0</v>
      </c>
      <c r="BH421" s="49">
        <v>0</v>
      </c>
      <c r="BI421" s="50">
        <v>0</v>
      </c>
      <c r="BJ421" s="49">
        <v>0</v>
      </c>
      <c r="BK421" s="50">
        <v>0</v>
      </c>
      <c r="BL421" s="49">
        <v>28</v>
      </c>
      <c r="BM421" s="50">
        <v>100</v>
      </c>
      <c r="BN421" s="49">
        <v>28</v>
      </c>
    </row>
    <row r="422" spans="1:66" ht="15">
      <c r="A422" s="65" t="s">
        <v>350</v>
      </c>
      <c r="B422" s="65" t="s">
        <v>498</v>
      </c>
      <c r="C422" s="66" t="s">
        <v>5817</v>
      </c>
      <c r="D422" s="67">
        <v>1</v>
      </c>
      <c r="E422" s="68" t="s">
        <v>132</v>
      </c>
      <c r="F422" s="69">
        <v>32</v>
      </c>
      <c r="G422" s="66" t="s">
        <v>51</v>
      </c>
      <c r="H422" s="70"/>
      <c r="I422" s="71"/>
      <c r="J422" s="71"/>
      <c r="K422" s="35" t="s">
        <v>65</v>
      </c>
      <c r="L422" s="79">
        <v>422</v>
      </c>
      <c r="M422" s="79"/>
      <c r="N422" s="73"/>
      <c r="O422" s="90" t="s">
        <v>524</v>
      </c>
      <c r="P422" s="93">
        <v>44531.988078703704</v>
      </c>
      <c r="Q422" s="90" t="s">
        <v>661</v>
      </c>
      <c r="R422" s="90"/>
      <c r="S422" s="90"/>
      <c r="T422" s="90"/>
      <c r="U422" s="90"/>
      <c r="V422" s="96" t="str">
        <f>HYPERLINK("https://pbs.twimg.com/profile_images/832336305023545344/l9HpngIg_normal.jpg")</f>
        <v>https://pbs.twimg.com/profile_images/832336305023545344/l9HpngIg_normal.jpg</v>
      </c>
      <c r="W422" s="93">
        <v>44531.988078703704</v>
      </c>
      <c r="X422" s="100">
        <v>44531</v>
      </c>
      <c r="Y422" s="97" t="s">
        <v>909</v>
      </c>
      <c r="Z422" s="96" t="str">
        <f>HYPERLINK("https://twitter.com/sujofin/status/1466191087014498304")</f>
        <v>https://twitter.com/sujofin/status/1466191087014498304</v>
      </c>
      <c r="AA422" s="90"/>
      <c r="AB422" s="90"/>
      <c r="AC422" s="97" t="s">
        <v>1161</v>
      </c>
      <c r="AD422" s="97" t="s">
        <v>1162</v>
      </c>
      <c r="AE422" s="90" t="b">
        <v>0</v>
      </c>
      <c r="AF422" s="90">
        <v>2</v>
      </c>
      <c r="AG422" s="97" t="s">
        <v>1340</v>
      </c>
      <c r="AH422" s="90" t="b">
        <v>0</v>
      </c>
      <c r="AI422" s="90" t="s">
        <v>1442</v>
      </c>
      <c r="AJ422" s="90"/>
      <c r="AK422" s="97" t="s">
        <v>1338</v>
      </c>
      <c r="AL422" s="90" t="b">
        <v>0</v>
      </c>
      <c r="AM422" s="90">
        <v>0</v>
      </c>
      <c r="AN422" s="97" t="s">
        <v>1338</v>
      </c>
      <c r="AO422" s="97" t="s">
        <v>1452</v>
      </c>
      <c r="AP422" s="90" t="b">
        <v>0</v>
      </c>
      <c r="AQ422" s="97" t="s">
        <v>1162</v>
      </c>
      <c r="AR422" s="90" t="s">
        <v>187</v>
      </c>
      <c r="AS422" s="90">
        <v>0</v>
      </c>
      <c r="AT422" s="90">
        <v>0</v>
      </c>
      <c r="AU422" s="90"/>
      <c r="AV422" s="90"/>
      <c r="AW422" s="90"/>
      <c r="AX422" s="90"/>
      <c r="AY422" s="90"/>
      <c r="AZ422" s="90"/>
      <c r="BA422" s="90"/>
      <c r="BB422" s="90"/>
      <c r="BC422">
        <v>1</v>
      </c>
      <c r="BD422" s="89" t="str">
        <f>REPLACE(INDEX(GroupVertices[Group],MATCH(Edges[[#This Row],[Vertex 1]],GroupVertices[Vertex],0)),1,1,"")</f>
        <v>5</v>
      </c>
      <c r="BE422" s="89" t="str">
        <f>REPLACE(INDEX(GroupVertices[Group],MATCH(Edges[[#This Row],[Vertex 2]],GroupVertices[Vertex],0)),1,1,"")</f>
        <v>5</v>
      </c>
      <c r="BF422" s="49"/>
      <c r="BG422" s="50"/>
      <c r="BH422" s="49"/>
      <c r="BI422" s="50"/>
      <c r="BJ422" s="49"/>
      <c r="BK422" s="50"/>
      <c r="BL422" s="49"/>
      <c r="BM422" s="50"/>
      <c r="BN422" s="49"/>
    </row>
    <row r="423" spans="1:66" ht="15">
      <c r="A423" s="65" t="s">
        <v>349</v>
      </c>
      <c r="B423" s="65" t="s">
        <v>498</v>
      </c>
      <c r="C423" s="66" t="s">
        <v>5817</v>
      </c>
      <c r="D423" s="67">
        <v>1</v>
      </c>
      <c r="E423" s="68" t="s">
        <v>132</v>
      </c>
      <c r="F423" s="69">
        <v>32</v>
      </c>
      <c r="G423" s="66" t="s">
        <v>51</v>
      </c>
      <c r="H423" s="70"/>
      <c r="I423" s="71"/>
      <c r="J423" s="71"/>
      <c r="K423" s="35" t="s">
        <v>65</v>
      </c>
      <c r="L423" s="79">
        <v>423</v>
      </c>
      <c r="M423" s="79"/>
      <c r="N423" s="73"/>
      <c r="O423" s="90" t="s">
        <v>524</v>
      </c>
      <c r="P423" s="93">
        <v>44531.80119212963</v>
      </c>
      <c r="Q423" s="90" t="s">
        <v>662</v>
      </c>
      <c r="R423" s="90"/>
      <c r="S423" s="90"/>
      <c r="T423" s="90"/>
      <c r="U423" s="90"/>
      <c r="V423" s="96" t="str">
        <f>HYPERLINK("https://pbs.twimg.com/profile_images/1393874518343667713/26qXQ9--_normal.jpg")</f>
        <v>https://pbs.twimg.com/profile_images/1393874518343667713/26qXQ9--_normal.jpg</v>
      </c>
      <c r="W423" s="93">
        <v>44531.80119212963</v>
      </c>
      <c r="X423" s="100">
        <v>44531</v>
      </c>
      <c r="Y423" s="97" t="s">
        <v>910</v>
      </c>
      <c r="Z423" s="96" t="str">
        <f>HYPERLINK("https://twitter.com/leanvaltio/status/1466123363412283392")</f>
        <v>https://twitter.com/leanvaltio/status/1466123363412283392</v>
      </c>
      <c r="AA423" s="90"/>
      <c r="AB423" s="90"/>
      <c r="AC423" s="97" t="s">
        <v>1162</v>
      </c>
      <c r="AD423" s="97" t="s">
        <v>1315</v>
      </c>
      <c r="AE423" s="90" t="b">
        <v>0</v>
      </c>
      <c r="AF423" s="90">
        <v>0</v>
      </c>
      <c r="AG423" s="97" t="s">
        <v>1424</v>
      </c>
      <c r="AH423" s="90" t="b">
        <v>0</v>
      </c>
      <c r="AI423" s="90" t="s">
        <v>1442</v>
      </c>
      <c r="AJ423" s="90"/>
      <c r="AK423" s="97" t="s">
        <v>1338</v>
      </c>
      <c r="AL423" s="90" t="b">
        <v>0</v>
      </c>
      <c r="AM423" s="90">
        <v>0</v>
      </c>
      <c r="AN423" s="97" t="s">
        <v>1338</v>
      </c>
      <c r="AO423" s="97" t="s">
        <v>1450</v>
      </c>
      <c r="AP423" s="90" t="b">
        <v>0</v>
      </c>
      <c r="AQ423" s="97" t="s">
        <v>1315</v>
      </c>
      <c r="AR423" s="90" t="s">
        <v>187</v>
      </c>
      <c r="AS423" s="90">
        <v>0</v>
      </c>
      <c r="AT423" s="90">
        <v>0</v>
      </c>
      <c r="AU423" s="90"/>
      <c r="AV423" s="90"/>
      <c r="AW423" s="90"/>
      <c r="AX423" s="90"/>
      <c r="AY423" s="90"/>
      <c r="AZ423" s="90"/>
      <c r="BA423" s="90"/>
      <c r="BB423" s="90"/>
      <c r="BC423">
        <v>1</v>
      </c>
      <c r="BD423" s="89" t="str">
        <f>REPLACE(INDEX(GroupVertices[Group],MATCH(Edges[[#This Row],[Vertex 1]],GroupVertices[Vertex],0)),1,1,"")</f>
        <v>5</v>
      </c>
      <c r="BE423" s="89" t="str">
        <f>REPLACE(INDEX(GroupVertices[Group],MATCH(Edges[[#This Row],[Vertex 2]],GroupVertices[Vertex],0)),1,1,"")</f>
        <v>5</v>
      </c>
      <c r="BF423" s="49"/>
      <c r="BG423" s="50"/>
      <c r="BH423" s="49"/>
      <c r="BI423" s="50"/>
      <c r="BJ423" s="49"/>
      <c r="BK423" s="50"/>
      <c r="BL423" s="49"/>
      <c r="BM423" s="50"/>
      <c r="BN423" s="49"/>
    </row>
    <row r="424" spans="1:66" ht="15">
      <c r="A424" s="65" t="s">
        <v>350</v>
      </c>
      <c r="B424" s="65" t="s">
        <v>499</v>
      </c>
      <c r="C424" s="66" t="s">
        <v>5817</v>
      </c>
      <c r="D424" s="67">
        <v>1</v>
      </c>
      <c r="E424" s="68" t="s">
        <v>132</v>
      </c>
      <c r="F424" s="69">
        <v>32</v>
      </c>
      <c r="G424" s="66" t="s">
        <v>51</v>
      </c>
      <c r="H424" s="70"/>
      <c r="I424" s="71"/>
      <c r="J424" s="71"/>
      <c r="K424" s="35" t="s">
        <v>65</v>
      </c>
      <c r="L424" s="79">
        <v>424</v>
      </c>
      <c r="M424" s="79"/>
      <c r="N424" s="73"/>
      <c r="O424" s="90" t="s">
        <v>524</v>
      </c>
      <c r="P424" s="93">
        <v>44531.988078703704</v>
      </c>
      <c r="Q424" s="90" t="s">
        <v>661</v>
      </c>
      <c r="R424" s="90"/>
      <c r="S424" s="90"/>
      <c r="T424" s="90"/>
      <c r="U424" s="90"/>
      <c r="V424" s="96" t="str">
        <f>HYPERLINK("https://pbs.twimg.com/profile_images/832336305023545344/l9HpngIg_normal.jpg")</f>
        <v>https://pbs.twimg.com/profile_images/832336305023545344/l9HpngIg_normal.jpg</v>
      </c>
      <c r="W424" s="93">
        <v>44531.988078703704</v>
      </c>
      <c r="X424" s="100">
        <v>44531</v>
      </c>
      <c r="Y424" s="97" t="s">
        <v>909</v>
      </c>
      <c r="Z424" s="96" t="str">
        <f>HYPERLINK("https://twitter.com/sujofin/status/1466191087014498304")</f>
        <v>https://twitter.com/sujofin/status/1466191087014498304</v>
      </c>
      <c r="AA424" s="90"/>
      <c r="AB424" s="90"/>
      <c r="AC424" s="97" t="s">
        <v>1161</v>
      </c>
      <c r="AD424" s="97" t="s">
        <v>1162</v>
      </c>
      <c r="AE424" s="90" t="b">
        <v>0</v>
      </c>
      <c r="AF424" s="90">
        <v>2</v>
      </c>
      <c r="AG424" s="97" t="s">
        <v>1340</v>
      </c>
      <c r="AH424" s="90" t="b">
        <v>0</v>
      </c>
      <c r="AI424" s="90" t="s">
        <v>1442</v>
      </c>
      <c r="AJ424" s="90"/>
      <c r="AK424" s="97" t="s">
        <v>1338</v>
      </c>
      <c r="AL424" s="90" t="b">
        <v>0</v>
      </c>
      <c r="AM424" s="90">
        <v>0</v>
      </c>
      <c r="AN424" s="97" t="s">
        <v>1338</v>
      </c>
      <c r="AO424" s="97" t="s">
        <v>1452</v>
      </c>
      <c r="AP424" s="90" t="b">
        <v>0</v>
      </c>
      <c r="AQ424" s="97" t="s">
        <v>1162</v>
      </c>
      <c r="AR424" s="90" t="s">
        <v>187</v>
      </c>
      <c r="AS424" s="90">
        <v>0</v>
      </c>
      <c r="AT424" s="90">
        <v>0</v>
      </c>
      <c r="AU424" s="90"/>
      <c r="AV424" s="90"/>
      <c r="AW424" s="90"/>
      <c r="AX424" s="90"/>
      <c r="AY424" s="90"/>
      <c r="AZ424" s="90"/>
      <c r="BA424" s="90"/>
      <c r="BB424" s="90"/>
      <c r="BC424">
        <v>1</v>
      </c>
      <c r="BD424" s="89" t="str">
        <f>REPLACE(INDEX(GroupVertices[Group],MATCH(Edges[[#This Row],[Vertex 1]],GroupVertices[Vertex],0)),1,1,"")</f>
        <v>5</v>
      </c>
      <c r="BE424" s="89" t="str">
        <f>REPLACE(INDEX(GroupVertices[Group],MATCH(Edges[[#This Row],[Vertex 2]],GroupVertices[Vertex],0)),1,1,"")</f>
        <v>5</v>
      </c>
      <c r="BF424" s="49"/>
      <c r="BG424" s="50"/>
      <c r="BH424" s="49"/>
      <c r="BI424" s="50"/>
      <c r="BJ424" s="49"/>
      <c r="BK424" s="50"/>
      <c r="BL424" s="49"/>
      <c r="BM424" s="50"/>
      <c r="BN424" s="49"/>
    </row>
    <row r="425" spans="1:66" ht="15">
      <c r="A425" s="65" t="s">
        <v>349</v>
      </c>
      <c r="B425" s="65" t="s">
        <v>499</v>
      </c>
      <c r="C425" s="66" t="s">
        <v>5817</v>
      </c>
      <c r="D425" s="67">
        <v>1</v>
      </c>
      <c r="E425" s="68" t="s">
        <v>132</v>
      </c>
      <c r="F425" s="69">
        <v>32</v>
      </c>
      <c r="G425" s="66" t="s">
        <v>51</v>
      </c>
      <c r="H425" s="70"/>
      <c r="I425" s="71"/>
      <c r="J425" s="71"/>
      <c r="K425" s="35" t="s">
        <v>65</v>
      </c>
      <c r="L425" s="79">
        <v>425</v>
      </c>
      <c r="M425" s="79"/>
      <c r="N425" s="73"/>
      <c r="O425" s="90" t="s">
        <v>524</v>
      </c>
      <c r="P425" s="93">
        <v>44531.80119212963</v>
      </c>
      <c r="Q425" s="90" t="s">
        <v>662</v>
      </c>
      <c r="R425" s="90"/>
      <c r="S425" s="90"/>
      <c r="T425" s="90"/>
      <c r="U425" s="90"/>
      <c r="V425" s="96" t="str">
        <f>HYPERLINK("https://pbs.twimg.com/profile_images/1393874518343667713/26qXQ9--_normal.jpg")</f>
        <v>https://pbs.twimg.com/profile_images/1393874518343667713/26qXQ9--_normal.jpg</v>
      </c>
      <c r="W425" s="93">
        <v>44531.80119212963</v>
      </c>
      <c r="X425" s="100">
        <v>44531</v>
      </c>
      <c r="Y425" s="97" t="s">
        <v>910</v>
      </c>
      <c r="Z425" s="96" t="str">
        <f>HYPERLINK("https://twitter.com/leanvaltio/status/1466123363412283392")</f>
        <v>https://twitter.com/leanvaltio/status/1466123363412283392</v>
      </c>
      <c r="AA425" s="90"/>
      <c r="AB425" s="90"/>
      <c r="AC425" s="97" t="s">
        <v>1162</v>
      </c>
      <c r="AD425" s="97" t="s">
        <v>1315</v>
      </c>
      <c r="AE425" s="90" t="b">
        <v>0</v>
      </c>
      <c r="AF425" s="90">
        <v>0</v>
      </c>
      <c r="AG425" s="97" t="s">
        <v>1424</v>
      </c>
      <c r="AH425" s="90" t="b">
        <v>0</v>
      </c>
      <c r="AI425" s="90" t="s">
        <v>1442</v>
      </c>
      <c r="AJ425" s="90"/>
      <c r="AK425" s="97" t="s">
        <v>1338</v>
      </c>
      <c r="AL425" s="90" t="b">
        <v>0</v>
      </c>
      <c r="AM425" s="90">
        <v>0</v>
      </c>
      <c r="AN425" s="97" t="s">
        <v>1338</v>
      </c>
      <c r="AO425" s="97" t="s">
        <v>1450</v>
      </c>
      <c r="AP425" s="90" t="b">
        <v>0</v>
      </c>
      <c r="AQ425" s="97" t="s">
        <v>1315</v>
      </c>
      <c r="AR425" s="90" t="s">
        <v>187</v>
      </c>
      <c r="AS425" s="90">
        <v>0</v>
      </c>
      <c r="AT425" s="90">
        <v>0</v>
      </c>
      <c r="AU425" s="90"/>
      <c r="AV425" s="90"/>
      <c r="AW425" s="90"/>
      <c r="AX425" s="90"/>
      <c r="AY425" s="90"/>
      <c r="AZ425" s="90"/>
      <c r="BA425" s="90"/>
      <c r="BB425" s="90"/>
      <c r="BC425">
        <v>1</v>
      </c>
      <c r="BD425" s="89" t="str">
        <f>REPLACE(INDEX(GroupVertices[Group],MATCH(Edges[[#This Row],[Vertex 1]],GroupVertices[Vertex],0)),1,1,"")</f>
        <v>5</v>
      </c>
      <c r="BE425" s="89" t="str">
        <f>REPLACE(INDEX(GroupVertices[Group],MATCH(Edges[[#This Row],[Vertex 2]],GroupVertices[Vertex],0)),1,1,"")</f>
        <v>5</v>
      </c>
      <c r="BF425" s="49"/>
      <c r="BG425" s="50"/>
      <c r="BH425" s="49"/>
      <c r="BI425" s="50"/>
      <c r="BJ425" s="49"/>
      <c r="BK425" s="50"/>
      <c r="BL425" s="49"/>
      <c r="BM425" s="50"/>
      <c r="BN425" s="49"/>
    </row>
    <row r="426" spans="1:66" ht="15">
      <c r="A426" s="65" t="s">
        <v>350</v>
      </c>
      <c r="B426" s="65" t="s">
        <v>500</v>
      </c>
      <c r="C426" s="66" t="s">
        <v>5817</v>
      </c>
      <c r="D426" s="67">
        <v>1</v>
      </c>
      <c r="E426" s="68" t="s">
        <v>132</v>
      </c>
      <c r="F426" s="69">
        <v>32</v>
      </c>
      <c r="G426" s="66" t="s">
        <v>51</v>
      </c>
      <c r="H426" s="70"/>
      <c r="I426" s="71"/>
      <c r="J426" s="71"/>
      <c r="K426" s="35" t="s">
        <v>65</v>
      </c>
      <c r="L426" s="79">
        <v>426</v>
      </c>
      <c r="M426" s="79"/>
      <c r="N426" s="73"/>
      <c r="O426" s="90" t="s">
        <v>524</v>
      </c>
      <c r="P426" s="93">
        <v>44531.988078703704</v>
      </c>
      <c r="Q426" s="90" t="s">
        <v>661</v>
      </c>
      <c r="R426" s="90"/>
      <c r="S426" s="90"/>
      <c r="T426" s="90"/>
      <c r="U426" s="90"/>
      <c r="V426" s="96" t="str">
        <f>HYPERLINK("https://pbs.twimg.com/profile_images/832336305023545344/l9HpngIg_normal.jpg")</f>
        <v>https://pbs.twimg.com/profile_images/832336305023545344/l9HpngIg_normal.jpg</v>
      </c>
      <c r="W426" s="93">
        <v>44531.988078703704</v>
      </c>
      <c r="X426" s="100">
        <v>44531</v>
      </c>
      <c r="Y426" s="97" t="s">
        <v>909</v>
      </c>
      <c r="Z426" s="96" t="str">
        <f>HYPERLINK("https://twitter.com/sujofin/status/1466191087014498304")</f>
        <v>https://twitter.com/sujofin/status/1466191087014498304</v>
      </c>
      <c r="AA426" s="90"/>
      <c r="AB426" s="90"/>
      <c r="AC426" s="97" t="s">
        <v>1161</v>
      </c>
      <c r="AD426" s="97" t="s">
        <v>1162</v>
      </c>
      <c r="AE426" s="90" t="b">
        <v>0</v>
      </c>
      <c r="AF426" s="90">
        <v>2</v>
      </c>
      <c r="AG426" s="97" t="s">
        <v>1340</v>
      </c>
      <c r="AH426" s="90" t="b">
        <v>0</v>
      </c>
      <c r="AI426" s="90" t="s">
        <v>1442</v>
      </c>
      <c r="AJ426" s="90"/>
      <c r="AK426" s="97" t="s">
        <v>1338</v>
      </c>
      <c r="AL426" s="90" t="b">
        <v>0</v>
      </c>
      <c r="AM426" s="90">
        <v>0</v>
      </c>
      <c r="AN426" s="97" t="s">
        <v>1338</v>
      </c>
      <c r="AO426" s="97" t="s">
        <v>1452</v>
      </c>
      <c r="AP426" s="90" t="b">
        <v>0</v>
      </c>
      <c r="AQ426" s="97" t="s">
        <v>1162</v>
      </c>
      <c r="AR426" s="90" t="s">
        <v>187</v>
      </c>
      <c r="AS426" s="90">
        <v>0</v>
      </c>
      <c r="AT426" s="90">
        <v>0</v>
      </c>
      <c r="AU426" s="90"/>
      <c r="AV426" s="90"/>
      <c r="AW426" s="90"/>
      <c r="AX426" s="90"/>
      <c r="AY426" s="90"/>
      <c r="AZ426" s="90"/>
      <c r="BA426" s="90"/>
      <c r="BB426" s="90"/>
      <c r="BC426">
        <v>1</v>
      </c>
      <c r="BD426" s="89" t="str">
        <f>REPLACE(INDEX(GroupVertices[Group],MATCH(Edges[[#This Row],[Vertex 1]],GroupVertices[Vertex],0)),1,1,"")</f>
        <v>5</v>
      </c>
      <c r="BE426" s="89" t="str">
        <f>REPLACE(INDEX(GroupVertices[Group],MATCH(Edges[[#This Row],[Vertex 2]],GroupVertices[Vertex],0)),1,1,"")</f>
        <v>5</v>
      </c>
      <c r="BF426" s="49">
        <v>0</v>
      </c>
      <c r="BG426" s="50">
        <v>0</v>
      </c>
      <c r="BH426" s="49">
        <v>0</v>
      </c>
      <c r="BI426" s="50">
        <v>0</v>
      </c>
      <c r="BJ426" s="49">
        <v>0</v>
      </c>
      <c r="BK426" s="50">
        <v>0</v>
      </c>
      <c r="BL426" s="49">
        <v>33</v>
      </c>
      <c r="BM426" s="50">
        <v>100</v>
      </c>
      <c r="BN426" s="49">
        <v>33</v>
      </c>
    </row>
    <row r="427" spans="1:66" ht="15">
      <c r="A427" s="65" t="s">
        <v>350</v>
      </c>
      <c r="B427" s="65" t="s">
        <v>349</v>
      </c>
      <c r="C427" s="66" t="s">
        <v>5817</v>
      </c>
      <c r="D427" s="67">
        <v>1</v>
      </c>
      <c r="E427" s="68" t="s">
        <v>132</v>
      </c>
      <c r="F427" s="69">
        <v>32</v>
      </c>
      <c r="G427" s="66" t="s">
        <v>51</v>
      </c>
      <c r="H427" s="70"/>
      <c r="I427" s="71"/>
      <c r="J427" s="71"/>
      <c r="K427" s="35" t="s">
        <v>66</v>
      </c>
      <c r="L427" s="79">
        <v>427</v>
      </c>
      <c r="M427" s="79"/>
      <c r="N427" s="73"/>
      <c r="O427" s="90" t="s">
        <v>523</v>
      </c>
      <c r="P427" s="93">
        <v>44531.988078703704</v>
      </c>
      <c r="Q427" s="90" t="s">
        <v>661</v>
      </c>
      <c r="R427" s="90"/>
      <c r="S427" s="90"/>
      <c r="T427" s="90"/>
      <c r="U427" s="90"/>
      <c r="V427" s="96" t="str">
        <f>HYPERLINK("https://pbs.twimg.com/profile_images/832336305023545344/l9HpngIg_normal.jpg")</f>
        <v>https://pbs.twimg.com/profile_images/832336305023545344/l9HpngIg_normal.jpg</v>
      </c>
      <c r="W427" s="93">
        <v>44531.988078703704</v>
      </c>
      <c r="X427" s="100">
        <v>44531</v>
      </c>
      <c r="Y427" s="97" t="s">
        <v>909</v>
      </c>
      <c r="Z427" s="96" t="str">
        <f>HYPERLINK("https://twitter.com/sujofin/status/1466191087014498304")</f>
        <v>https://twitter.com/sujofin/status/1466191087014498304</v>
      </c>
      <c r="AA427" s="90"/>
      <c r="AB427" s="90"/>
      <c r="AC427" s="97" t="s">
        <v>1161</v>
      </c>
      <c r="AD427" s="97" t="s">
        <v>1162</v>
      </c>
      <c r="AE427" s="90" t="b">
        <v>0</v>
      </c>
      <c r="AF427" s="90">
        <v>2</v>
      </c>
      <c r="AG427" s="97" t="s">
        <v>1340</v>
      </c>
      <c r="AH427" s="90" t="b">
        <v>0</v>
      </c>
      <c r="AI427" s="90" t="s">
        <v>1442</v>
      </c>
      <c r="AJ427" s="90"/>
      <c r="AK427" s="97" t="s">
        <v>1338</v>
      </c>
      <c r="AL427" s="90" t="b">
        <v>0</v>
      </c>
      <c r="AM427" s="90">
        <v>0</v>
      </c>
      <c r="AN427" s="97" t="s">
        <v>1338</v>
      </c>
      <c r="AO427" s="97" t="s">
        <v>1452</v>
      </c>
      <c r="AP427" s="90" t="b">
        <v>0</v>
      </c>
      <c r="AQ427" s="97" t="s">
        <v>1162</v>
      </c>
      <c r="AR427" s="90" t="s">
        <v>187</v>
      </c>
      <c r="AS427" s="90">
        <v>0</v>
      </c>
      <c r="AT427" s="90">
        <v>0</v>
      </c>
      <c r="AU427" s="90"/>
      <c r="AV427" s="90"/>
      <c r="AW427" s="90"/>
      <c r="AX427" s="90"/>
      <c r="AY427" s="90"/>
      <c r="AZ427" s="90"/>
      <c r="BA427" s="90"/>
      <c r="BB427" s="90"/>
      <c r="BC427">
        <v>1</v>
      </c>
      <c r="BD427" s="89" t="str">
        <f>REPLACE(INDEX(GroupVertices[Group],MATCH(Edges[[#This Row],[Vertex 1]],GroupVertices[Vertex],0)),1,1,"")</f>
        <v>5</v>
      </c>
      <c r="BE427" s="89" t="str">
        <f>REPLACE(INDEX(GroupVertices[Group],MATCH(Edges[[#This Row],[Vertex 2]],GroupVertices[Vertex],0)),1,1,"")</f>
        <v>5</v>
      </c>
      <c r="BF427" s="49"/>
      <c r="BG427" s="50"/>
      <c r="BH427" s="49"/>
      <c r="BI427" s="50"/>
      <c r="BJ427" s="49"/>
      <c r="BK427" s="50"/>
      <c r="BL427" s="49"/>
      <c r="BM427" s="50"/>
      <c r="BN427" s="49"/>
    </row>
    <row r="428" spans="1:66" ht="15">
      <c r="A428" s="65" t="s">
        <v>349</v>
      </c>
      <c r="B428" s="65" t="s">
        <v>350</v>
      </c>
      <c r="C428" s="66" t="s">
        <v>5817</v>
      </c>
      <c r="D428" s="67">
        <v>1</v>
      </c>
      <c r="E428" s="68" t="s">
        <v>132</v>
      </c>
      <c r="F428" s="69">
        <v>32</v>
      </c>
      <c r="G428" s="66" t="s">
        <v>51</v>
      </c>
      <c r="H428" s="70"/>
      <c r="I428" s="71"/>
      <c r="J428" s="71"/>
      <c r="K428" s="35" t="s">
        <v>66</v>
      </c>
      <c r="L428" s="79">
        <v>428</v>
      </c>
      <c r="M428" s="79"/>
      <c r="N428" s="73"/>
      <c r="O428" s="90" t="s">
        <v>524</v>
      </c>
      <c r="P428" s="93">
        <v>44531.80119212963</v>
      </c>
      <c r="Q428" s="90" t="s">
        <v>662</v>
      </c>
      <c r="R428" s="90"/>
      <c r="S428" s="90"/>
      <c r="T428" s="90"/>
      <c r="U428" s="90"/>
      <c r="V428" s="96" t="str">
        <f>HYPERLINK("https://pbs.twimg.com/profile_images/1393874518343667713/26qXQ9--_normal.jpg")</f>
        <v>https://pbs.twimg.com/profile_images/1393874518343667713/26qXQ9--_normal.jpg</v>
      </c>
      <c r="W428" s="93">
        <v>44531.80119212963</v>
      </c>
      <c r="X428" s="100">
        <v>44531</v>
      </c>
      <c r="Y428" s="97" t="s">
        <v>910</v>
      </c>
      <c r="Z428" s="96" t="str">
        <f>HYPERLINK("https://twitter.com/leanvaltio/status/1466123363412283392")</f>
        <v>https://twitter.com/leanvaltio/status/1466123363412283392</v>
      </c>
      <c r="AA428" s="90"/>
      <c r="AB428" s="90"/>
      <c r="AC428" s="97" t="s">
        <v>1162</v>
      </c>
      <c r="AD428" s="97" t="s">
        <v>1315</v>
      </c>
      <c r="AE428" s="90" t="b">
        <v>0</v>
      </c>
      <c r="AF428" s="90">
        <v>0</v>
      </c>
      <c r="AG428" s="97" t="s">
        <v>1424</v>
      </c>
      <c r="AH428" s="90" t="b">
        <v>0</v>
      </c>
      <c r="AI428" s="90" t="s">
        <v>1442</v>
      </c>
      <c r="AJ428" s="90"/>
      <c r="AK428" s="97" t="s">
        <v>1338</v>
      </c>
      <c r="AL428" s="90" t="b">
        <v>0</v>
      </c>
      <c r="AM428" s="90">
        <v>0</v>
      </c>
      <c r="AN428" s="97" t="s">
        <v>1338</v>
      </c>
      <c r="AO428" s="97" t="s">
        <v>1450</v>
      </c>
      <c r="AP428" s="90" t="b">
        <v>0</v>
      </c>
      <c r="AQ428" s="97" t="s">
        <v>1315</v>
      </c>
      <c r="AR428" s="90" t="s">
        <v>187</v>
      </c>
      <c r="AS428" s="90">
        <v>0</v>
      </c>
      <c r="AT428" s="90">
        <v>0</v>
      </c>
      <c r="AU428" s="90"/>
      <c r="AV428" s="90"/>
      <c r="AW428" s="90"/>
      <c r="AX428" s="90"/>
      <c r="AY428" s="90"/>
      <c r="AZ428" s="90"/>
      <c r="BA428" s="90"/>
      <c r="BB428" s="90"/>
      <c r="BC428">
        <v>1</v>
      </c>
      <c r="BD428" s="89" t="str">
        <f>REPLACE(INDEX(GroupVertices[Group],MATCH(Edges[[#This Row],[Vertex 1]],GroupVertices[Vertex],0)),1,1,"")</f>
        <v>5</v>
      </c>
      <c r="BE428" s="89" t="str">
        <f>REPLACE(INDEX(GroupVertices[Group],MATCH(Edges[[#This Row],[Vertex 2]],GroupVertices[Vertex],0)),1,1,"")</f>
        <v>5</v>
      </c>
      <c r="BF428" s="49"/>
      <c r="BG428" s="50"/>
      <c r="BH428" s="49"/>
      <c r="BI428" s="50"/>
      <c r="BJ428" s="49"/>
      <c r="BK428" s="50"/>
      <c r="BL428" s="49"/>
      <c r="BM428" s="50"/>
      <c r="BN428" s="49"/>
    </row>
    <row r="429" spans="1:66" ht="15">
      <c r="A429" s="65" t="s">
        <v>349</v>
      </c>
      <c r="B429" s="65" t="s">
        <v>500</v>
      </c>
      <c r="C429" s="66" t="s">
        <v>5817</v>
      </c>
      <c r="D429" s="67">
        <v>1</v>
      </c>
      <c r="E429" s="68" t="s">
        <v>132</v>
      </c>
      <c r="F429" s="69">
        <v>32</v>
      </c>
      <c r="G429" s="66" t="s">
        <v>51</v>
      </c>
      <c r="H429" s="70"/>
      <c r="I429" s="71"/>
      <c r="J429" s="71"/>
      <c r="K429" s="35" t="s">
        <v>65</v>
      </c>
      <c r="L429" s="79">
        <v>429</v>
      </c>
      <c r="M429" s="79"/>
      <c r="N429" s="73"/>
      <c r="O429" s="90" t="s">
        <v>523</v>
      </c>
      <c r="P429" s="93">
        <v>44531.80119212963</v>
      </c>
      <c r="Q429" s="90" t="s">
        <v>662</v>
      </c>
      <c r="R429" s="90"/>
      <c r="S429" s="90"/>
      <c r="T429" s="90"/>
      <c r="U429" s="90"/>
      <c r="V429" s="96" t="str">
        <f>HYPERLINK("https://pbs.twimg.com/profile_images/1393874518343667713/26qXQ9--_normal.jpg")</f>
        <v>https://pbs.twimg.com/profile_images/1393874518343667713/26qXQ9--_normal.jpg</v>
      </c>
      <c r="W429" s="93">
        <v>44531.80119212963</v>
      </c>
      <c r="X429" s="100">
        <v>44531</v>
      </c>
      <c r="Y429" s="97" t="s">
        <v>910</v>
      </c>
      <c r="Z429" s="96" t="str">
        <f>HYPERLINK("https://twitter.com/leanvaltio/status/1466123363412283392")</f>
        <v>https://twitter.com/leanvaltio/status/1466123363412283392</v>
      </c>
      <c r="AA429" s="90"/>
      <c r="AB429" s="90"/>
      <c r="AC429" s="97" t="s">
        <v>1162</v>
      </c>
      <c r="AD429" s="97" t="s">
        <v>1315</v>
      </c>
      <c r="AE429" s="90" t="b">
        <v>0</v>
      </c>
      <c r="AF429" s="90">
        <v>0</v>
      </c>
      <c r="AG429" s="97" t="s">
        <v>1424</v>
      </c>
      <c r="AH429" s="90" t="b">
        <v>0</v>
      </c>
      <c r="AI429" s="90" t="s">
        <v>1442</v>
      </c>
      <c r="AJ429" s="90"/>
      <c r="AK429" s="97" t="s">
        <v>1338</v>
      </c>
      <c r="AL429" s="90" t="b">
        <v>0</v>
      </c>
      <c r="AM429" s="90">
        <v>0</v>
      </c>
      <c r="AN429" s="97" t="s">
        <v>1338</v>
      </c>
      <c r="AO429" s="97" t="s">
        <v>1450</v>
      </c>
      <c r="AP429" s="90" t="b">
        <v>0</v>
      </c>
      <c r="AQ429" s="97" t="s">
        <v>1315</v>
      </c>
      <c r="AR429" s="90" t="s">
        <v>187</v>
      </c>
      <c r="AS429" s="90">
        <v>0</v>
      </c>
      <c r="AT429" s="90">
        <v>0</v>
      </c>
      <c r="AU429" s="90"/>
      <c r="AV429" s="90"/>
      <c r="AW429" s="90"/>
      <c r="AX429" s="90"/>
      <c r="AY429" s="90"/>
      <c r="AZ429" s="90"/>
      <c r="BA429" s="90"/>
      <c r="BB429" s="90"/>
      <c r="BC429">
        <v>1</v>
      </c>
      <c r="BD429" s="89" t="str">
        <f>REPLACE(INDEX(GroupVertices[Group],MATCH(Edges[[#This Row],[Vertex 1]],GroupVertices[Vertex],0)),1,1,"")</f>
        <v>5</v>
      </c>
      <c r="BE429" s="89" t="str">
        <f>REPLACE(INDEX(GroupVertices[Group],MATCH(Edges[[#This Row],[Vertex 2]],GroupVertices[Vertex],0)),1,1,"")</f>
        <v>5</v>
      </c>
      <c r="BF429" s="49">
        <v>0</v>
      </c>
      <c r="BG429" s="50">
        <v>0</v>
      </c>
      <c r="BH429" s="49">
        <v>0</v>
      </c>
      <c r="BI429" s="50">
        <v>0</v>
      </c>
      <c r="BJ429" s="49">
        <v>0</v>
      </c>
      <c r="BK429" s="50">
        <v>0</v>
      </c>
      <c r="BL429" s="49">
        <v>34</v>
      </c>
      <c r="BM429" s="50">
        <v>100</v>
      </c>
      <c r="BN429" s="49">
        <v>34</v>
      </c>
    </row>
    <row r="430" spans="1:66" ht="15">
      <c r="A430" s="65" t="s">
        <v>351</v>
      </c>
      <c r="B430" s="65" t="s">
        <v>374</v>
      </c>
      <c r="C430" s="66" t="s">
        <v>5817</v>
      </c>
      <c r="D430" s="67">
        <v>1</v>
      </c>
      <c r="E430" s="68" t="s">
        <v>132</v>
      </c>
      <c r="F430" s="69">
        <v>32</v>
      </c>
      <c r="G430" s="66" t="s">
        <v>51</v>
      </c>
      <c r="H430" s="70"/>
      <c r="I430" s="71"/>
      <c r="J430" s="71"/>
      <c r="K430" s="35" t="s">
        <v>65</v>
      </c>
      <c r="L430" s="79">
        <v>430</v>
      </c>
      <c r="M430" s="79"/>
      <c r="N430" s="73"/>
      <c r="O430" s="90" t="s">
        <v>522</v>
      </c>
      <c r="P430" s="93">
        <v>44532.88390046296</v>
      </c>
      <c r="Q430" s="90" t="s">
        <v>656</v>
      </c>
      <c r="R430" s="96" t="str">
        <f>HYPERLINK("https://twitter.com/millatiuni/status/1466446380843606025")</f>
        <v>https://twitter.com/millatiuni/status/1466446380843606025</v>
      </c>
      <c r="S430" s="90" t="s">
        <v>693</v>
      </c>
      <c r="T430" s="90"/>
      <c r="U430" s="90"/>
      <c r="V430" s="96" t="str">
        <f>HYPERLINK("https://pbs.twimg.com/profile_images/1415055912071581698/YZ18hp60_normal.jpg")</f>
        <v>https://pbs.twimg.com/profile_images/1415055912071581698/YZ18hp60_normal.jpg</v>
      </c>
      <c r="W430" s="93">
        <v>44532.88390046296</v>
      </c>
      <c r="X430" s="100">
        <v>44532</v>
      </c>
      <c r="Y430" s="97" t="s">
        <v>911</v>
      </c>
      <c r="Z430" s="96" t="str">
        <f>HYPERLINK("https://twitter.com/jared_lyu/status/1466515724336349195")</f>
        <v>https://twitter.com/jared_lyu/status/1466515724336349195</v>
      </c>
      <c r="AA430" s="90"/>
      <c r="AB430" s="90"/>
      <c r="AC430" s="97" t="s">
        <v>1163</v>
      </c>
      <c r="AD430" s="90"/>
      <c r="AE430" s="90" t="b">
        <v>0</v>
      </c>
      <c r="AF430" s="90">
        <v>0</v>
      </c>
      <c r="AG430" s="97" t="s">
        <v>1338</v>
      </c>
      <c r="AH430" s="90" t="b">
        <v>1</v>
      </c>
      <c r="AI430" s="90" t="s">
        <v>1442</v>
      </c>
      <c r="AJ430" s="90"/>
      <c r="AK430" s="97" t="s">
        <v>1448</v>
      </c>
      <c r="AL430" s="90" t="b">
        <v>0</v>
      </c>
      <c r="AM430" s="90">
        <v>29</v>
      </c>
      <c r="AN430" s="97" t="s">
        <v>1218</v>
      </c>
      <c r="AO430" s="97" t="s">
        <v>1451</v>
      </c>
      <c r="AP430" s="90" t="b">
        <v>0</v>
      </c>
      <c r="AQ430" s="97" t="s">
        <v>1218</v>
      </c>
      <c r="AR430" s="90" t="s">
        <v>187</v>
      </c>
      <c r="AS430" s="90">
        <v>0</v>
      </c>
      <c r="AT430" s="90">
        <v>0</v>
      </c>
      <c r="AU430" s="90"/>
      <c r="AV430" s="90"/>
      <c r="AW430" s="90"/>
      <c r="AX430" s="90"/>
      <c r="AY430" s="90"/>
      <c r="AZ430" s="90"/>
      <c r="BA430" s="90"/>
      <c r="BB430" s="90"/>
      <c r="BC430">
        <v>1</v>
      </c>
      <c r="BD430" s="89" t="str">
        <f>REPLACE(INDEX(GroupVertices[Group],MATCH(Edges[[#This Row],[Vertex 1]],GroupVertices[Vertex],0)),1,1,"")</f>
        <v>1</v>
      </c>
      <c r="BE430" s="89" t="str">
        <f>REPLACE(INDEX(GroupVertices[Group],MATCH(Edges[[#This Row],[Vertex 2]],GroupVertices[Vertex],0)),1,1,"")</f>
        <v>1</v>
      </c>
      <c r="BF430" s="49">
        <v>0</v>
      </c>
      <c r="BG430" s="50">
        <v>0</v>
      </c>
      <c r="BH430" s="49">
        <v>0</v>
      </c>
      <c r="BI430" s="50">
        <v>0</v>
      </c>
      <c r="BJ430" s="49">
        <v>0</v>
      </c>
      <c r="BK430" s="50">
        <v>0</v>
      </c>
      <c r="BL430" s="49">
        <v>6</v>
      </c>
      <c r="BM430" s="50">
        <v>100</v>
      </c>
      <c r="BN430" s="49">
        <v>6</v>
      </c>
    </row>
    <row r="431" spans="1:66" ht="15">
      <c r="A431" s="65" t="s">
        <v>352</v>
      </c>
      <c r="B431" s="65" t="s">
        <v>430</v>
      </c>
      <c r="C431" s="66" t="s">
        <v>5817</v>
      </c>
      <c r="D431" s="67">
        <v>1</v>
      </c>
      <c r="E431" s="68" t="s">
        <v>132</v>
      </c>
      <c r="F431" s="69">
        <v>32</v>
      </c>
      <c r="G431" s="66" t="s">
        <v>51</v>
      </c>
      <c r="H431" s="70"/>
      <c r="I431" s="71"/>
      <c r="J431" s="71"/>
      <c r="K431" s="35" t="s">
        <v>65</v>
      </c>
      <c r="L431" s="79">
        <v>431</v>
      </c>
      <c r="M431" s="79"/>
      <c r="N431" s="73"/>
      <c r="O431" s="90" t="s">
        <v>525</v>
      </c>
      <c r="P431" s="93">
        <v>44530.92775462963</v>
      </c>
      <c r="Q431" s="90" t="s">
        <v>576</v>
      </c>
      <c r="R431" s="90"/>
      <c r="S431" s="90"/>
      <c r="T431" s="97" t="s">
        <v>712</v>
      </c>
      <c r="U431" s="96" t="str">
        <f>HYPERLINK("https://pbs.twimg.com/media/FFc5qVTVQAkWXE2.jpg")</f>
        <v>https://pbs.twimg.com/media/FFc5qVTVQAkWXE2.jpg</v>
      </c>
      <c r="V431" s="96" t="str">
        <f>HYPERLINK("https://pbs.twimg.com/media/FFc5qVTVQAkWXE2.jpg")</f>
        <v>https://pbs.twimg.com/media/FFc5qVTVQAkWXE2.jpg</v>
      </c>
      <c r="W431" s="93">
        <v>44530.92775462963</v>
      </c>
      <c r="X431" s="100">
        <v>44530</v>
      </c>
      <c r="Y431" s="97" t="s">
        <v>912</v>
      </c>
      <c r="Z431" s="96" t="str">
        <f>HYPERLINK("https://twitter.com/paulie880/status/1465806839216578566")</f>
        <v>https://twitter.com/paulie880/status/1465806839216578566</v>
      </c>
      <c r="AA431" s="90"/>
      <c r="AB431" s="90"/>
      <c r="AC431" s="97" t="s">
        <v>1164</v>
      </c>
      <c r="AD431" s="90"/>
      <c r="AE431" s="90" t="b">
        <v>0</v>
      </c>
      <c r="AF431" s="90">
        <v>0</v>
      </c>
      <c r="AG431" s="97" t="s">
        <v>1338</v>
      </c>
      <c r="AH431" s="90" t="b">
        <v>0</v>
      </c>
      <c r="AI431" s="90" t="s">
        <v>1442</v>
      </c>
      <c r="AJ431" s="90"/>
      <c r="AK431" s="97" t="s">
        <v>1338</v>
      </c>
      <c r="AL431" s="90" t="b">
        <v>0</v>
      </c>
      <c r="AM431" s="90">
        <v>18</v>
      </c>
      <c r="AN431" s="97" t="s">
        <v>1196</v>
      </c>
      <c r="AO431" s="97" t="s">
        <v>1450</v>
      </c>
      <c r="AP431" s="90" t="b">
        <v>0</v>
      </c>
      <c r="AQ431" s="97" t="s">
        <v>1196</v>
      </c>
      <c r="AR431" s="90" t="s">
        <v>187</v>
      </c>
      <c r="AS431" s="90">
        <v>0</v>
      </c>
      <c r="AT431" s="90">
        <v>0</v>
      </c>
      <c r="AU431" s="90"/>
      <c r="AV431" s="90"/>
      <c r="AW431" s="90"/>
      <c r="AX431" s="90"/>
      <c r="AY431" s="90"/>
      <c r="AZ431" s="90"/>
      <c r="BA431" s="90"/>
      <c r="BB431" s="90"/>
      <c r="BC431">
        <v>1</v>
      </c>
      <c r="BD431" s="89" t="str">
        <f>REPLACE(INDEX(GroupVertices[Group],MATCH(Edges[[#This Row],[Vertex 1]],GroupVertices[Vertex],0)),1,1,"")</f>
        <v>3</v>
      </c>
      <c r="BE431" s="89" t="str">
        <f>REPLACE(INDEX(GroupVertices[Group],MATCH(Edges[[#This Row],[Vertex 2]],GroupVertices[Vertex],0)),1,1,"")</f>
        <v>3</v>
      </c>
      <c r="BF431" s="49"/>
      <c r="BG431" s="50"/>
      <c r="BH431" s="49"/>
      <c r="BI431" s="50"/>
      <c r="BJ431" s="49"/>
      <c r="BK431" s="50"/>
      <c r="BL431" s="49"/>
      <c r="BM431" s="50"/>
      <c r="BN431" s="49"/>
    </row>
    <row r="432" spans="1:66" ht="15">
      <c r="A432" s="65" t="s">
        <v>352</v>
      </c>
      <c r="B432" s="65" t="s">
        <v>431</v>
      </c>
      <c r="C432" s="66" t="s">
        <v>5817</v>
      </c>
      <c r="D432" s="67">
        <v>1</v>
      </c>
      <c r="E432" s="68" t="s">
        <v>132</v>
      </c>
      <c r="F432" s="69">
        <v>32</v>
      </c>
      <c r="G432" s="66" t="s">
        <v>51</v>
      </c>
      <c r="H432" s="70"/>
      <c r="I432" s="71"/>
      <c r="J432" s="71"/>
      <c r="K432" s="35" t="s">
        <v>65</v>
      </c>
      <c r="L432" s="79">
        <v>432</v>
      </c>
      <c r="M432" s="79"/>
      <c r="N432" s="73"/>
      <c r="O432" s="90" t="s">
        <v>525</v>
      </c>
      <c r="P432" s="93">
        <v>44530.92775462963</v>
      </c>
      <c r="Q432" s="90" t="s">
        <v>576</v>
      </c>
      <c r="R432" s="90"/>
      <c r="S432" s="90"/>
      <c r="T432" s="97" t="s">
        <v>712</v>
      </c>
      <c r="U432" s="96" t="str">
        <f>HYPERLINK("https://pbs.twimg.com/media/FFc5qVTVQAkWXE2.jpg")</f>
        <v>https://pbs.twimg.com/media/FFc5qVTVQAkWXE2.jpg</v>
      </c>
      <c r="V432" s="96" t="str">
        <f>HYPERLINK("https://pbs.twimg.com/media/FFc5qVTVQAkWXE2.jpg")</f>
        <v>https://pbs.twimg.com/media/FFc5qVTVQAkWXE2.jpg</v>
      </c>
      <c r="W432" s="93">
        <v>44530.92775462963</v>
      </c>
      <c r="X432" s="100">
        <v>44530</v>
      </c>
      <c r="Y432" s="97" t="s">
        <v>912</v>
      </c>
      <c r="Z432" s="96" t="str">
        <f>HYPERLINK("https://twitter.com/paulie880/status/1465806839216578566")</f>
        <v>https://twitter.com/paulie880/status/1465806839216578566</v>
      </c>
      <c r="AA432" s="90"/>
      <c r="AB432" s="90"/>
      <c r="AC432" s="97" t="s">
        <v>1164</v>
      </c>
      <c r="AD432" s="90"/>
      <c r="AE432" s="90" t="b">
        <v>0</v>
      </c>
      <c r="AF432" s="90">
        <v>0</v>
      </c>
      <c r="AG432" s="97" t="s">
        <v>1338</v>
      </c>
      <c r="AH432" s="90" t="b">
        <v>0</v>
      </c>
      <c r="AI432" s="90" t="s">
        <v>1442</v>
      </c>
      <c r="AJ432" s="90"/>
      <c r="AK432" s="97" t="s">
        <v>1338</v>
      </c>
      <c r="AL432" s="90" t="b">
        <v>0</v>
      </c>
      <c r="AM432" s="90">
        <v>18</v>
      </c>
      <c r="AN432" s="97" t="s">
        <v>1196</v>
      </c>
      <c r="AO432" s="97" t="s">
        <v>1450</v>
      </c>
      <c r="AP432" s="90" t="b">
        <v>0</v>
      </c>
      <c r="AQ432" s="97" t="s">
        <v>1196</v>
      </c>
      <c r="AR432" s="90" t="s">
        <v>187</v>
      </c>
      <c r="AS432" s="90">
        <v>0</v>
      </c>
      <c r="AT432" s="90">
        <v>0</v>
      </c>
      <c r="AU432" s="90"/>
      <c r="AV432" s="90"/>
      <c r="AW432" s="90"/>
      <c r="AX432" s="90"/>
      <c r="AY432" s="90"/>
      <c r="AZ432" s="90"/>
      <c r="BA432" s="90"/>
      <c r="BB432" s="90"/>
      <c r="BC432">
        <v>1</v>
      </c>
      <c r="BD432" s="89" t="str">
        <f>REPLACE(INDEX(GroupVertices[Group],MATCH(Edges[[#This Row],[Vertex 1]],GroupVertices[Vertex],0)),1,1,"")</f>
        <v>3</v>
      </c>
      <c r="BE432" s="89" t="str">
        <f>REPLACE(INDEX(GroupVertices[Group],MATCH(Edges[[#This Row],[Vertex 2]],GroupVertices[Vertex],0)),1,1,"")</f>
        <v>3</v>
      </c>
      <c r="BF432" s="49"/>
      <c r="BG432" s="50"/>
      <c r="BH432" s="49"/>
      <c r="BI432" s="50"/>
      <c r="BJ432" s="49"/>
      <c r="BK432" s="50"/>
      <c r="BL432" s="49"/>
      <c r="BM432" s="50"/>
      <c r="BN432" s="49"/>
    </row>
    <row r="433" spans="1:66" ht="15">
      <c r="A433" s="65" t="s">
        <v>352</v>
      </c>
      <c r="B433" s="65" t="s">
        <v>368</v>
      </c>
      <c r="C433" s="66" t="s">
        <v>5817</v>
      </c>
      <c r="D433" s="67">
        <v>1</v>
      </c>
      <c r="E433" s="68" t="s">
        <v>132</v>
      </c>
      <c r="F433" s="69">
        <v>32</v>
      </c>
      <c r="G433" s="66" t="s">
        <v>51</v>
      </c>
      <c r="H433" s="70"/>
      <c r="I433" s="71"/>
      <c r="J433" s="71"/>
      <c r="K433" s="35" t="s">
        <v>65</v>
      </c>
      <c r="L433" s="79">
        <v>433</v>
      </c>
      <c r="M433" s="79"/>
      <c r="N433" s="73"/>
      <c r="O433" s="90" t="s">
        <v>522</v>
      </c>
      <c r="P433" s="93">
        <v>44530.92775462963</v>
      </c>
      <c r="Q433" s="90" t="s">
        <v>576</v>
      </c>
      <c r="R433" s="90"/>
      <c r="S433" s="90"/>
      <c r="T433" s="97" t="s">
        <v>712</v>
      </c>
      <c r="U433" s="96" t="str">
        <f>HYPERLINK("https://pbs.twimg.com/media/FFc5qVTVQAkWXE2.jpg")</f>
        <v>https://pbs.twimg.com/media/FFc5qVTVQAkWXE2.jpg</v>
      </c>
      <c r="V433" s="96" t="str">
        <f>HYPERLINK("https://pbs.twimg.com/media/FFc5qVTVQAkWXE2.jpg")</f>
        <v>https://pbs.twimg.com/media/FFc5qVTVQAkWXE2.jpg</v>
      </c>
      <c r="W433" s="93">
        <v>44530.92775462963</v>
      </c>
      <c r="X433" s="100">
        <v>44530</v>
      </c>
      <c r="Y433" s="97" t="s">
        <v>912</v>
      </c>
      <c r="Z433" s="96" t="str">
        <f>HYPERLINK("https://twitter.com/paulie880/status/1465806839216578566")</f>
        <v>https://twitter.com/paulie880/status/1465806839216578566</v>
      </c>
      <c r="AA433" s="90"/>
      <c r="AB433" s="90"/>
      <c r="AC433" s="97" t="s">
        <v>1164</v>
      </c>
      <c r="AD433" s="90"/>
      <c r="AE433" s="90" t="b">
        <v>0</v>
      </c>
      <c r="AF433" s="90">
        <v>0</v>
      </c>
      <c r="AG433" s="97" t="s">
        <v>1338</v>
      </c>
      <c r="AH433" s="90" t="b">
        <v>0</v>
      </c>
      <c r="AI433" s="90" t="s">
        <v>1442</v>
      </c>
      <c r="AJ433" s="90"/>
      <c r="AK433" s="97" t="s">
        <v>1338</v>
      </c>
      <c r="AL433" s="90" t="b">
        <v>0</v>
      </c>
      <c r="AM433" s="90">
        <v>18</v>
      </c>
      <c r="AN433" s="97" t="s">
        <v>1196</v>
      </c>
      <c r="AO433" s="97" t="s">
        <v>1450</v>
      </c>
      <c r="AP433" s="90" t="b">
        <v>0</v>
      </c>
      <c r="AQ433" s="97" t="s">
        <v>1196</v>
      </c>
      <c r="AR433" s="90" t="s">
        <v>187</v>
      </c>
      <c r="AS433" s="90">
        <v>0</v>
      </c>
      <c r="AT433" s="90">
        <v>0</v>
      </c>
      <c r="AU433" s="90"/>
      <c r="AV433" s="90"/>
      <c r="AW433" s="90"/>
      <c r="AX433" s="90"/>
      <c r="AY433" s="90"/>
      <c r="AZ433" s="90"/>
      <c r="BA433" s="90"/>
      <c r="BB433" s="90"/>
      <c r="BC433">
        <v>1</v>
      </c>
      <c r="BD433" s="89" t="str">
        <f>REPLACE(INDEX(GroupVertices[Group],MATCH(Edges[[#This Row],[Vertex 1]],GroupVertices[Vertex],0)),1,1,"")</f>
        <v>3</v>
      </c>
      <c r="BE433" s="89" t="str">
        <f>REPLACE(INDEX(GroupVertices[Group],MATCH(Edges[[#This Row],[Vertex 2]],GroupVertices[Vertex],0)),1,1,"")</f>
        <v>3</v>
      </c>
      <c r="BF433" s="49">
        <v>0</v>
      </c>
      <c r="BG433" s="50">
        <v>0</v>
      </c>
      <c r="BH433" s="49">
        <v>0</v>
      </c>
      <c r="BI433" s="50">
        <v>0</v>
      </c>
      <c r="BJ433" s="49">
        <v>0</v>
      </c>
      <c r="BK433" s="50">
        <v>0</v>
      </c>
      <c r="BL433" s="49">
        <v>13</v>
      </c>
      <c r="BM433" s="50">
        <v>100</v>
      </c>
      <c r="BN433" s="49">
        <v>13</v>
      </c>
    </row>
    <row r="434" spans="1:66" ht="15">
      <c r="A434" s="65" t="s">
        <v>353</v>
      </c>
      <c r="B434" s="65" t="s">
        <v>352</v>
      </c>
      <c r="C434" s="66" t="s">
        <v>5817</v>
      </c>
      <c r="D434" s="67">
        <v>1</v>
      </c>
      <c r="E434" s="68" t="s">
        <v>132</v>
      </c>
      <c r="F434" s="69">
        <v>32</v>
      </c>
      <c r="G434" s="66" t="s">
        <v>51</v>
      </c>
      <c r="H434" s="70"/>
      <c r="I434" s="71"/>
      <c r="J434" s="71"/>
      <c r="K434" s="35" t="s">
        <v>65</v>
      </c>
      <c r="L434" s="79">
        <v>434</v>
      </c>
      <c r="M434" s="79"/>
      <c r="N434" s="73"/>
      <c r="O434" s="90" t="s">
        <v>524</v>
      </c>
      <c r="P434" s="93">
        <v>44530.92936342592</v>
      </c>
      <c r="Q434" s="90" t="s">
        <v>663</v>
      </c>
      <c r="R434" s="90"/>
      <c r="S434" s="90"/>
      <c r="T434" s="90"/>
      <c r="U434" s="90"/>
      <c r="V434" s="96" t="str">
        <f>HYPERLINK("https://pbs.twimg.com/profile_images/1447836349642461188/Mc3vK-as_normal.jpg")</f>
        <v>https://pbs.twimg.com/profile_images/1447836349642461188/Mc3vK-as_normal.jpg</v>
      </c>
      <c r="W434" s="93">
        <v>44530.92936342592</v>
      </c>
      <c r="X434" s="100">
        <v>44530</v>
      </c>
      <c r="Y434" s="97" t="s">
        <v>913</v>
      </c>
      <c r="Z434" s="96" t="str">
        <f>HYPERLINK("https://twitter.com/ekurzw/status/1465807422900031493")</f>
        <v>https://twitter.com/ekurzw/status/1465807422900031493</v>
      </c>
      <c r="AA434" s="90"/>
      <c r="AB434" s="90"/>
      <c r="AC434" s="97" t="s">
        <v>1165</v>
      </c>
      <c r="AD434" s="97" t="s">
        <v>1196</v>
      </c>
      <c r="AE434" s="90" t="b">
        <v>0</v>
      </c>
      <c r="AF434" s="90">
        <v>2</v>
      </c>
      <c r="AG434" s="97" t="s">
        <v>1425</v>
      </c>
      <c r="AH434" s="90" t="b">
        <v>0</v>
      </c>
      <c r="AI434" s="90" t="s">
        <v>1442</v>
      </c>
      <c r="AJ434" s="90"/>
      <c r="AK434" s="97" t="s">
        <v>1338</v>
      </c>
      <c r="AL434" s="90" t="b">
        <v>0</v>
      </c>
      <c r="AM434" s="90">
        <v>0</v>
      </c>
      <c r="AN434" s="97" t="s">
        <v>1338</v>
      </c>
      <c r="AO434" s="97" t="s">
        <v>1452</v>
      </c>
      <c r="AP434" s="90" t="b">
        <v>0</v>
      </c>
      <c r="AQ434" s="97" t="s">
        <v>1196</v>
      </c>
      <c r="AR434" s="90" t="s">
        <v>187</v>
      </c>
      <c r="AS434" s="90">
        <v>0</v>
      </c>
      <c r="AT434" s="90">
        <v>0</v>
      </c>
      <c r="AU434" s="90"/>
      <c r="AV434" s="90"/>
      <c r="AW434" s="90"/>
      <c r="AX434" s="90"/>
      <c r="AY434" s="90"/>
      <c r="AZ434" s="90"/>
      <c r="BA434" s="90"/>
      <c r="BB434" s="90"/>
      <c r="BC434">
        <v>1</v>
      </c>
      <c r="BD434" s="89" t="str">
        <f>REPLACE(INDEX(GroupVertices[Group],MATCH(Edges[[#This Row],[Vertex 1]],GroupVertices[Vertex],0)),1,1,"")</f>
        <v>3</v>
      </c>
      <c r="BE434" s="89" t="str">
        <f>REPLACE(INDEX(GroupVertices[Group],MATCH(Edges[[#This Row],[Vertex 2]],GroupVertices[Vertex],0)),1,1,"")</f>
        <v>3</v>
      </c>
      <c r="BF434" s="49"/>
      <c r="BG434" s="50"/>
      <c r="BH434" s="49"/>
      <c r="BI434" s="50"/>
      <c r="BJ434" s="49"/>
      <c r="BK434" s="50"/>
      <c r="BL434" s="49"/>
      <c r="BM434" s="50"/>
      <c r="BN434" s="49"/>
    </row>
    <row r="435" spans="1:66" ht="15">
      <c r="A435" s="65" t="s">
        <v>353</v>
      </c>
      <c r="B435" s="65" t="s">
        <v>447</v>
      </c>
      <c r="C435" s="66" t="s">
        <v>5817</v>
      </c>
      <c r="D435" s="67">
        <v>1</v>
      </c>
      <c r="E435" s="68" t="s">
        <v>132</v>
      </c>
      <c r="F435" s="69">
        <v>32</v>
      </c>
      <c r="G435" s="66" t="s">
        <v>51</v>
      </c>
      <c r="H435" s="70"/>
      <c r="I435" s="71"/>
      <c r="J435" s="71"/>
      <c r="K435" s="35" t="s">
        <v>65</v>
      </c>
      <c r="L435" s="79">
        <v>435</v>
      </c>
      <c r="M435" s="79"/>
      <c r="N435" s="73"/>
      <c r="O435" s="90" t="s">
        <v>525</v>
      </c>
      <c r="P435" s="93">
        <v>44526.37396990741</v>
      </c>
      <c r="Q435" s="90" t="s">
        <v>586</v>
      </c>
      <c r="R435" s="90"/>
      <c r="S435" s="90"/>
      <c r="T435" s="90"/>
      <c r="U435" s="90"/>
      <c r="V435" s="96" t="str">
        <f>HYPERLINK("https://pbs.twimg.com/profile_images/1447836349642461188/Mc3vK-as_normal.jpg")</f>
        <v>https://pbs.twimg.com/profile_images/1447836349642461188/Mc3vK-as_normal.jpg</v>
      </c>
      <c r="W435" s="93">
        <v>44526.37396990741</v>
      </c>
      <c r="X435" s="100">
        <v>44526</v>
      </c>
      <c r="Y435" s="97" t="s">
        <v>914</v>
      </c>
      <c r="Z435" s="96" t="str">
        <f>HYPERLINK("https://twitter.com/ekurzw/status/1464156602957807616")</f>
        <v>https://twitter.com/ekurzw/status/1464156602957807616</v>
      </c>
      <c r="AA435" s="90"/>
      <c r="AB435" s="90"/>
      <c r="AC435" s="97" t="s">
        <v>1166</v>
      </c>
      <c r="AD435" s="90"/>
      <c r="AE435" s="90" t="b">
        <v>0</v>
      </c>
      <c r="AF435" s="90">
        <v>0</v>
      </c>
      <c r="AG435" s="97" t="s">
        <v>1338</v>
      </c>
      <c r="AH435" s="90" t="b">
        <v>0</v>
      </c>
      <c r="AI435" s="90" t="s">
        <v>1442</v>
      </c>
      <c r="AJ435" s="90"/>
      <c r="AK435" s="97" t="s">
        <v>1338</v>
      </c>
      <c r="AL435" s="90" t="b">
        <v>0</v>
      </c>
      <c r="AM435" s="90">
        <v>3</v>
      </c>
      <c r="AN435" s="97" t="s">
        <v>1188</v>
      </c>
      <c r="AO435" s="97" t="s">
        <v>1452</v>
      </c>
      <c r="AP435" s="90" t="b">
        <v>0</v>
      </c>
      <c r="AQ435" s="97" t="s">
        <v>1188</v>
      </c>
      <c r="AR435" s="90" t="s">
        <v>187</v>
      </c>
      <c r="AS435" s="90">
        <v>0</v>
      </c>
      <c r="AT435" s="90">
        <v>0</v>
      </c>
      <c r="AU435" s="90"/>
      <c r="AV435" s="90"/>
      <c r="AW435" s="90"/>
      <c r="AX435" s="90"/>
      <c r="AY435" s="90"/>
      <c r="AZ435" s="90"/>
      <c r="BA435" s="90"/>
      <c r="BB435" s="90"/>
      <c r="BC435">
        <v>1</v>
      </c>
      <c r="BD435" s="89" t="str">
        <f>REPLACE(INDEX(GroupVertices[Group],MATCH(Edges[[#This Row],[Vertex 1]],GroupVertices[Vertex],0)),1,1,"")</f>
        <v>3</v>
      </c>
      <c r="BE435" s="89" t="str">
        <f>REPLACE(INDEX(GroupVertices[Group],MATCH(Edges[[#This Row],[Vertex 2]],GroupVertices[Vertex],0)),1,1,"")</f>
        <v>3</v>
      </c>
      <c r="BF435" s="49"/>
      <c r="BG435" s="50"/>
      <c r="BH435" s="49"/>
      <c r="BI435" s="50"/>
      <c r="BJ435" s="49"/>
      <c r="BK435" s="50"/>
      <c r="BL435" s="49"/>
      <c r="BM435" s="50"/>
      <c r="BN435" s="49"/>
    </row>
    <row r="436" spans="1:66" ht="15">
      <c r="A436" s="65" t="s">
        <v>353</v>
      </c>
      <c r="B436" s="65" t="s">
        <v>448</v>
      </c>
      <c r="C436" s="66" t="s">
        <v>5817</v>
      </c>
      <c r="D436" s="67">
        <v>1</v>
      </c>
      <c r="E436" s="68" t="s">
        <v>132</v>
      </c>
      <c r="F436" s="69">
        <v>32</v>
      </c>
      <c r="G436" s="66" t="s">
        <v>51</v>
      </c>
      <c r="H436" s="70"/>
      <c r="I436" s="71"/>
      <c r="J436" s="71"/>
      <c r="K436" s="35" t="s">
        <v>65</v>
      </c>
      <c r="L436" s="79">
        <v>436</v>
      </c>
      <c r="M436" s="79"/>
      <c r="N436" s="73"/>
      <c r="O436" s="90" t="s">
        <v>525</v>
      </c>
      <c r="P436" s="93">
        <v>44526.37396990741</v>
      </c>
      <c r="Q436" s="90" t="s">
        <v>586</v>
      </c>
      <c r="R436" s="90"/>
      <c r="S436" s="90"/>
      <c r="T436" s="90"/>
      <c r="U436" s="90"/>
      <c r="V436" s="96" t="str">
        <f>HYPERLINK("https://pbs.twimg.com/profile_images/1447836349642461188/Mc3vK-as_normal.jpg")</f>
        <v>https://pbs.twimg.com/profile_images/1447836349642461188/Mc3vK-as_normal.jpg</v>
      </c>
      <c r="W436" s="93">
        <v>44526.37396990741</v>
      </c>
      <c r="X436" s="100">
        <v>44526</v>
      </c>
      <c r="Y436" s="97" t="s">
        <v>914</v>
      </c>
      <c r="Z436" s="96" t="str">
        <f>HYPERLINK("https://twitter.com/ekurzw/status/1464156602957807616")</f>
        <v>https://twitter.com/ekurzw/status/1464156602957807616</v>
      </c>
      <c r="AA436" s="90"/>
      <c r="AB436" s="90"/>
      <c r="AC436" s="97" t="s">
        <v>1166</v>
      </c>
      <c r="AD436" s="90"/>
      <c r="AE436" s="90" t="b">
        <v>0</v>
      </c>
      <c r="AF436" s="90">
        <v>0</v>
      </c>
      <c r="AG436" s="97" t="s">
        <v>1338</v>
      </c>
      <c r="AH436" s="90" t="b">
        <v>0</v>
      </c>
      <c r="AI436" s="90" t="s">
        <v>1442</v>
      </c>
      <c r="AJ436" s="90"/>
      <c r="AK436" s="97" t="s">
        <v>1338</v>
      </c>
      <c r="AL436" s="90" t="b">
        <v>0</v>
      </c>
      <c r="AM436" s="90">
        <v>3</v>
      </c>
      <c r="AN436" s="97" t="s">
        <v>1188</v>
      </c>
      <c r="AO436" s="97" t="s">
        <v>1452</v>
      </c>
      <c r="AP436" s="90" t="b">
        <v>0</v>
      </c>
      <c r="AQ436" s="97" t="s">
        <v>1188</v>
      </c>
      <c r="AR436" s="90" t="s">
        <v>187</v>
      </c>
      <c r="AS436" s="90">
        <v>0</v>
      </c>
      <c r="AT436" s="90">
        <v>0</v>
      </c>
      <c r="AU436" s="90"/>
      <c r="AV436" s="90"/>
      <c r="AW436" s="90"/>
      <c r="AX436" s="90"/>
      <c r="AY436" s="90"/>
      <c r="AZ436" s="90"/>
      <c r="BA436" s="90"/>
      <c r="BB436" s="90"/>
      <c r="BC436">
        <v>1</v>
      </c>
      <c r="BD436" s="89" t="str">
        <f>REPLACE(INDEX(GroupVertices[Group],MATCH(Edges[[#This Row],[Vertex 1]],GroupVertices[Vertex],0)),1,1,"")</f>
        <v>3</v>
      </c>
      <c r="BE436" s="89" t="str">
        <f>REPLACE(INDEX(GroupVertices[Group],MATCH(Edges[[#This Row],[Vertex 2]],GroupVertices[Vertex],0)),1,1,"")</f>
        <v>3</v>
      </c>
      <c r="BF436" s="49"/>
      <c r="BG436" s="50"/>
      <c r="BH436" s="49"/>
      <c r="BI436" s="50"/>
      <c r="BJ436" s="49"/>
      <c r="BK436" s="50"/>
      <c r="BL436" s="49"/>
      <c r="BM436" s="50"/>
      <c r="BN436" s="49"/>
    </row>
    <row r="437" spans="1:66" ht="15">
      <c r="A437" s="65" t="s">
        <v>353</v>
      </c>
      <c r="B437" s="65" t="s">
        <v>449</v>
      </c>
      <c r="C437" s="66" t="s">
        <v>5817</v>
      </c>
      <c r="D437" s="67">
        <v>1</v>
      </c>
      <c r="E437" s="68" t="s">
        <v>132</v>
      </c>
      <c r="F437" s="69">
        <v>32</v>
      </c>
      <c r="G437" s="66" t="s">
        <v>51</v>
      </c>
      <c r="H437" s="70"/>
      <c r="I437" s="71"/>
      <c r="J437" s="71"/>
      <c r="K437" s="35" t="s">
        <v>65</v>
      </c>
      <c r="L437" s="79">
        <v>437</v>
      </c>
      <c r="M437" s="79"/>
      <c r="N437" s="73"/>
      <c r="O437" s="90" t="s">
        <v>525</v>
      </c>
      <c r="P437" s="93">
        <v>44526.37396990741</v>
      </c>
      <c r="Q437" s="90" t="s">
        <v>586</v>
      </c>
      <c r="R437" s="90"/>
      <c r="S437" s="90"/>
      <c r="T437" s="90"/>
      <c r="U437" s="90"/>
      <c r="V437" s="96" t="str">
        <f>HYPERLINK("https://pbs.twimg.com/profile_images/1447836349642461188/Mc3vK-as_normal.jpg")</f>
        <v>https://pbs.twimg.com/profile_images/1447836349642461188/Mc3vK-as_normal.jpg</v>
      </c>
      <c r="W437" s="93">
        <v>44526.37396990741</v>
      </c>
      <c r="X437" s="100">
        <v>44526</v>
      </c>
      <c r="Y437" s="97" t="s">
        <v>914</v>
      </c>
      <c r="Z437" s="96" t="str">
        <f>HYPERLINK("https://twitter.com/ekurzw/status/1464156602957807616")</f>
        <v>https://twitter.com/ekurzw/status/1464156602957807616</v>
      </c>
      <c r="AA437" s="90"/>
      <c r="AB437" s="90"/>
      <c r="AC437" s="97" t="s">
        <v>1166</v>
      </c>
      <c r="AD437" s="90"/>
      <c r="AE437" s="90" t="b">
        <v>0</v>
      </c>
      <c r="AF437" s="90">
        <v>0</v>
      </c>
      <c r="AG437" s="97" t="s">
        <v>1338</v>
      </c>
      <c r="AH437" s="90" t="b">
        <v>0</v>
      </c>
      <c r="AI437" s="90" t="s">
        <v>1442</v>
      </c>
      <c r="AJ437" s="90"/>
      <c r="AK437" s="97" t="s">
        <v>1338</v>
      </c>
      <c r="AL437" s="90" t="b">
        <v>0</v>
      </c>
      <c r="AM437" s="90">
        <v>3</v>
      </c>
      <c r="AN437" s="97" t="s">
        <v>1188</v>
      </c>
      <c r="AO437" s="97" t="s">
        <v>1452</v>
      </c>
      <c r="AP437" s="90" t="b">
        <v>0</v>
      </c>
      <c r="AQ437" s="97" t="s">
        <v>1188</v>
      </c>
      <c r="AR437" s="90" t="s">
        <v>187</v>
      </c>
      <c r="AS437" s="90">
        <v>0</v>
      </c>
      <c r="AT437" s="90">
        <v>0</v>
      </c>
      <c r="AU437" s="90"/>
      <c r="AV437" s="90"/>
      <c r="AW437" s="90"/>
      <c r="AX437" s="90"/>
      <c r="AY437" s="90"/>
      <c r="AZ437" s="90"/>
      <c r="BA437" s="90"/>
      <c r="BB437" s="90"/>
      <c r="BC437">
        <v>1</v>
      </c>
      <c r="BD437" s="89" t="str">
        <f>REPLACE(INDEX(GroupVertices[Group],MATCH(Edges[[#This Row],[Vertex 1]],GroupVertices[Vertex],0)),1,1,"")</f>
        <v>3</v>
      </c>
      <c r="BE437" s="89" t="str">
        <f>REPLACE(INDEX(GroupVertices[Group],MATCH(Edges[[#This Row],[Vertex 2]],GroupVertices[Vertex],0)),1,1,"")</f>
        <v>3</v>
      </c>
      <c r="BF437" s="49"/>
      <c r="BG437" s="50"/>
      <c r="BH437" s="49"/>
      <c r="BI437" s="50"/>
      <c r="BJ437" s="49"/>
      <c r="BK437" s="50"/>
      <c r="BL437" s="49"/>
      <c r="BM437" s="50"/>
      <c r="BN437" s="49"/>
    </row>
    <row r="438" spans="1:66" ht="15">
      <c r="A438" s="65" t="s">
        <v>353</v>
      </c>
      <c r="B438" s="65" t="s">
        <v>366</v>
      </c>
      <c r="C438" s="66" t="s">
        <v>5817</v>
      </c>
      <c r="D438" s="67">
        <v>1</v>
      </c>
      <c r="E438" s="68" t="s">
        <v>132</v>
      </c>
      <c r="F438" s="69">
        <v>32</v>
      </c>
      <c r="G438" s="66" t="s">
        <v>51</v>
      </c>
      <c r="H438" s="70"/>
      <c r="I438" s="71"/>
      <c r="J438" s="71"/>
      <c r="K438" s="35" t="s">
        <v>65</v>
      </c>
      <c r="L438" s="79">
        <v>438</v>
      </c>
      <c r="M438" s="79"/>
      <c r="N438" s="73"/>
      <c r="O438" s="90" t="s">
        <v>522</v>
      </c>
      <c r="P438" s="93">
        <v>44526.37396990741</v>
      </c>
      <c r="Q438" s="90" t="s">
        <v>586</v>
      </c>
      <c r="R438" s="90"/>
      <c r="S438" s="90"/>
      <c r="T438" s="90"/>
      <c r="U438" s="90"/>
      <c r="V438" s="96" t="str">
        <f>HYPERLINK("https://pbs.twimg.com/profile_images/1447836349642461188/Mc3vK-as_normal.jpg")</f>
        <v>https://pbs.twimg.com/profile_images/1447836349642461188/Mc3vK-as_normal.jpg</v>
      </c>
      <c r="W438" s="93">
        <v>44526.37396990741</v>
      </c>
      <c r="X438" s="100">
        <v>44526</v>
      </c>
      <c r="Y438" s="97" t="s">
        <v>914</v>
      </c>
      <c r="Z438" s="96" t="str">
        <f>HYPERLINK("https://twitter.com/ekurzw/status/1464156602957807616")</f>
        <v>https://twitter.com/ekurzw/status/1464156602957807616</v>
      </c>
      <c r="AA438" s="90"/>
      <c r="AB438" s="90"/>
      <c r="AC438" s="97" t="s">
        <v>1166</v>
      </c>
      <c r="AD438" s="90"/>
      <c r="AE438" s="90" t="b">
        <v>0</v>
      </c>
      <c r="AF438" s="90">
        <v>0</v>
      </c>
      <c r="AG438" s="97" t="s">
        <v>1338</v>
      </c>
      <c r="AH438" s="90" t="b">
        <v>0</v>
      </c>
      <c r="AI438" s="90" t="s">
        <v>1442</v>
      </c>
      <c r="AJ438" s="90"/>
      <c r="AK438" s="97" t="s">
        <v>1338</v>
      </c>
      <c r="AL438" s="90" t="b">
        <v>0</v>
      </c>
      <c r="AM438" s="90">
        <v>3</v>
      </c>
      <c r="AN438" s="97" t="s">
        <v>1188</v>
      </c>
      <c r="AO438" s="97" t="s">
        <v>1452</v>
      </c>
      <c r="AP438" s="90" t="b">
        <v>0</v>
      </c>
      <c r="AQ438" s="97" t="s">
        <v>1188</v>
      </c>
      <c r="AR438" s="90" t="s">
        <v>187</v>
      </c>
      <c r="AS438" s="90">
        <v>0</v>
      </c>
      <c r="AT438" s="90">
        <v>0</v>
      </c>
      <c r="AU438" s="90"/>
      <c r="AV438" s="90"/>
      <c r="AW438" s="90"/>
      <c r="AX438" s="90"/>
      <c r="AY438" s="90"/>
      <c r="AZ438" s="90"/>
      <c r="BA438" s="90"/>
      <c r="BB438" s="90"/>
      <c r="BC438">
        <v>1</v>
      </c>
      <c r="BD438" s="89" t="str">
        <f>REPLACE(INDEX(GroupVertices[Group],MATCH(Edges[[#This Row],[Vertex 1]],GroupVertices[Vertex],0)),1,1,"")</f>
        <v>3</v>
      </c>
      <c r="BE438" s="89" t="str">
        <f>REPLACE(INDEX(GroupVertices[Group],MATCH(Edges[[#This Row],[Vertex 2]],GroupVertices[Vertex],0)),1,1,"")</f>
        <v>3</v>
      </c>
      <c r="BF438" s="49"/>
      <c r="BG438" s="50"/>
      <c r="BH438" s="49"/>
      <c r="BI438" s="50"/>
      <c r="BJ438" s="49"/>
      <c r="BK438" s="50"/>
      <c r="BL438" s="49"/>
      <c r="BM438" s="50"/>
      <c r="BN438" s="49"/>
    </row>
    <row r="439" spans="1:66" ht="15">
      <c r="A439" s="65" t="s">
        <v>353</v>
      </c>
      <c r="B439" s="65" t="s">
        <v>450</v>
      </c>
      <c r="C439" s="66" t="s">
        <v>5817</v>
      </c>
      <c r="D439" s="67">
        <v>1</v>
      </c>
      <c r="E439" s="68" t="s">
        <v>132</v>
      </c>
      <c r="F439" s="69">
        <v>32</v>
      </c>
      <c r="G439" s="66" t="s">
        <v>51</v>
      </c>
      <c r="H439" s="70"/>
      <c r="I439" s="71"/>
      <c r="J439" s="71"/>
      <c r="K439" s="35" t="s">
        <v>65</v>
      </c>
      <c r="L439" s="79">
        <v>439</v>
      </c>
      <c r="M439" s="79"/>
      <c r="N439" s="73"/>
      <c r="O439" s="90" t="s">
        <v>523</v>
      </c>
      <c r="P439" s="93">
        <v>44526.37396990741</v>
      </c>
      <c r="Q439" s="90" t="s">
        <v>586</v>
      </c>
      <c r="R439" s="90"/>
      <c r="S439" s="90"/>
      <c r="T439" s="90"/>
      <c r="U439" s="90"/>
      <c r="V439" s="96" t="str">
        <f>HYPERLINK("https://pbs.twimg.com/profile_images/1447836349642461188/Mc3vK-as_normal.jpg")</f>
        <v>https://pbs.twimg.com/profile_images/1447836349642461188/Mc3vK-as_normal.jpg</v>
      </c>
      <c r="W439" s="93">
        <v>44526.37396990741</v>
      </c>
      <c r="X439" s="100">
        <v>44526</v>
      </c>
      <c r="Y439" s="97" t="s">
        <v>914</v>
      </c>
      <c r="Z439" s="96" t="str">
        <f>HYPERLINK("https://twitter.com/ekurzw/status/1464156602957807616")</f>
        <v>https://twitter.com/ekurzw/status/1464156602957807616</v>
      </c>
      <c r="AA439" s="90"/>
      <c r="AB439" s="90"/>
      <c r="AC439" s="97" t="s">
        <v>1166</v>
      </c>
      <c r="AD439" s="90"/>
      <c r="AE439" s="90" t="b">
        <v>0</v>
      </c>
      <c r="AF439" s="90">
        <v>0</v>
      </c>
      <c r="AG439" s="97" t="s">
        <v>1338</v>
      </c>
      <c r="AH439" s="90" t="b">
        <v>0</v>
      </c>
      <c r="AI439" s="90" t="s">
        <v>1442</v>
      </c>
      <c r="AJ439" s="90"/>
      <c r="AK439" s="97" t="s">
        <v>1338</v>
      </c>
      <c r="AL439" s="90" t="b">
        <v>0</v>
      </c>
      <c r="AM439" s="90">
        <v>3</v>
      </c>
      <c r="AN439" s="97" t="s">
        <v>1188</v>
      </c>
      <c r="AO439" s="97" t="s">
        <v>1452</v>
      </c>
      <c r="AP439" s="90" t="b">
        <v>0</v>
      </c>
      <c r="AQ439" s="97" t="s">
        <v>1188</v>
      </c>
      <c r="AR439" s="90" t="s">
        <v>187</v>
      </c>
      <c r="AS439" s="90">
        <v>0</v>
      </c>
      <c r="AT439" s="90">
        <v>0</v>
      </c>
      <c r="AU439" s="90"/>
      <c r="AV439" s="90"/>
      <c r="AW439" s="90"/>
      <c r="AX439" s="90"/>
      <c r="AY439" s="90"/>
      <c r="AZ439" s="90"/>
      <c r="BA439" s="90"/>
      <c r="BB439" s="90"/>
      <c r="BC439">
        <v>1</v>
      </c>
      <c r="BD439" s="89" t="str">
        <f>REPLACE(INDEX(GroupVertices[Group],MATCH(Edges[[#This Row],[Vertex 1]],GroupVertices[Vertex],0)),1,1,"")</f>
        <v>3</v>
      </c>
      <c r="BE439" s="89" t="str">
        <f>REPLACE(INDEX(GroupVertices[Group],MATCH(Edges[[#This Row],[Vertex 2]],GroupVertices[Vertex],0)),1,1,"")</f>
        <v>3</v>
      </c>
      <c r="BF439" s="49">
        <v>0</v>
      </c>
      <c r="BG439" s="50">
        <v>0</v>
      </c>
      <c r="BH439" s="49">
        <v>1</v>
      </c>
      <c r="BI439" s="50">
        <v>3.7037037037037037</v>
      </c>
      <c r="BJ439" s="49">
        <v>0</v>
      </c>
      <c r="BK439" s="50">
        <v>0</v>
      </c>
      <c r="BL439" s="49">
        <v>26</v>
      </c>
      <c r="BM439" s="50">
        <v>96.29629629629629</v>
      </c>
      <c r="BN439" s="49">
        <v>27</v>
      </c>
    </row>
    <row r="440" spans="1:66" ht="15">
      <c r="A440" s="65" t="s">
        <v>353</v>
      </c>
      <c r="B440" s="65" t="s">
        <v>430</v>
      </c>
      <c r="C440" s="66" t="s">
        <v>5817</v>
      </c>
      <c r="D440" s="67">
        <v>1</v>
      </c>
      <c r="E440" s="68" t="s">
        <v>132</v>
      </c>
      <c r="F440" s="69">
        <v>32</v>
      </c>
      <c r="G440" s="66" t="s">
        <v>51</v>
      </c>
      <c r="H440" s="70"/>
      <c r="I440" s="71"/>
      <c r="J440" s="71"/>
      <c r="K440" s="35" t="s">
        <v>65</v>
      </c>
      <c r="L440" s="79">
        <v>440</v>
      </c>
      <c r="M440" s="79"/>
      <c r="N440" s="73"/>
      <c r="O440" s="90" t="s">
        <v>524</v>
      </c>
      <c r="P440" s="93">
        <v>44530.92936342592</v>
      </c>
      <c r="Q440" s="90" t="s">
        <v>663</v>
      </c>
      <c r="R440" s="90"/>
      <c r="S440" s="90"/>
      <c r="T440" s="90"/>
      <c r="U440" s="90"/>
      <c r="V440" s="96" t="str">
        <f>HYPERLINK("https://pbs.twimg.com/profile_images/1447836349642461188/Mc3vK-as_normal.jpg")</f>
        <v>https://pbs.twimg.com/profile_images/1447836349642461188/Mc3vK-as_normal.jpg</v>
      </c>
      <c r="W440" s="93">
        <v>44530.92936342592</v>
      </c>
      <c r="X440" s="100">
        <v>44530</v>
      </c>
      <c r="Y440" s="97" t="s">
        <v>913</v>
      </c>
      <c r="Z440" s="96" t="str">
        <f>HYPERLINK("https://twitter.com/ekurzw/status/1465807422900031493")</f>
        <v>https://twitter.com/ekurzw/status/1465807422900031493</v>
      </c>
      <c r="AA440" s="90"/>
      <c r="AB440" s="90"/>
      <c r="AC440" s="97" t="s">
        <v>1165</v>
      </c>
      <c r="AD440" s="97" t="s">
        <v>1196</v>
      </c>
      <c r="AE440" s="90" t="b">
        <v>0</v>
      </c>
      <c r="AF440" s="90">
        <v>2</v>
      </c>
      <c r="AG440" s="97" t="s">
        <v>1425</v>
      </c>
      <c r="AH440" s="90" t="b">
        <v>0</v>
      </c>
      <c r="AI440" s="90" t="s">
        <v>1442</v>
      </c>
      <c r="AJ440" s="90"/>
      <c r="AK440" s="97" t="s">
        <v>1338</v>
      </c>
      <c r="AL440" s="90" t="b">
        <v>0</v>
      </c>
      <c r="AM440" s="90">
        <v>0</v>
      </c>
      <c r="AN440" s="97" t="s">
        <v>1338</v>
      </c>
      <c r="AO440" s="97" t="s">
        <v>1452</v>
      </c>
      <c r="AP440" s="90" t="b">
        <v>0</v>
      </c>
      <c r="AQ440" s="97" t="s">
        <v>1196</v>
      </c>
      <c r="AR440" s="90" t="s">
        <v>187</v>
      </c>
      <c r="AS440" s="90">
        <v>0</v>
      </c>
      <c r="AT440" s="90">
        <v>0</v>
      </c>
      <c r="AU440" s="90"/>
      <c r="AV440" s="90"/>
      <c r="AW440" s="90"/>
      <c r="AX440" s="90"/>
      <c r="AY440" s="90"/>
      <c r="AZ440" s="90"/>
      <c r="BA440" s="90"/>
      <c r="BB440" s="90"/>
      <c r="BC440">
        <v>1</v>
      </c>
      <c r="BD440" s="89" t="str">
        <f>REPLACE(INDEX(GroupVertices[Group],MATCH(Edges[[#This Row],[Vertex 1]],GroupVertices[Vertex],0)),1,1,"")</f>
        <v>3</v>
      </c>
      <c r="BE440" s="89" t="str">
        <f>REPLACE(INDEX(GroupVertices[Group],MATCH(Edges[[#This Row],[Vertex 2]],GroupVertices[Vertex],0)),1,1,"")</f>
        <v>3</v>
      </c>
      <c r="BF440" s="49"/>
      <c r="BG440" s="50"/>
      <c r="BH440" s="49"/>
      <c r="BI440" s="50"/>
      <c r="BJ440" s="49"/>
      <c r="BK440" s="50"/>
      <c r="BL440" s="49"/>
      <c r="BM440" s="50"/>
      <c r="BN440" s="49"/>
    </row>
    <row r="441" spans="1:66" ht="15">
      <c r="A441" s="65" t="s">
        <v>353</v>
      </c>
      <c r="B441" s="65" t="s">
        <v>431</v>
      </c>
      <c r="C441" s="66" t="s">
        <v>5817</v>
      </c>
      <c r="D441" s="67">
        <v>1</v>
      </c>
      <c r="E441" s="68" t="s">
        <v>132</v>
      </c>
      <c r="F441" s="69">
        <v>32</v>
      </c>
      <c r="G441" s="66" t="s">
        <v>51</v>
      </c>
      <c r="H441" s="70"/>
      <c r="I441" s="71"/>
      <c r="J441" s="71"/>
      <c r="K441" s="35" t="s">
        <v>65</v>
      </c>
      <c r="L441" s="79">
        <v>441</v>
      </c>
      <c r="M441" s="79"/>
      <c r="N441" s="73"/>
      <c r="O441" s="90" t="s">
        <v>524</v>
      </c>
      <c r="P441" s="93">
        <v>44530.92936342592</v>
      </c>
      <c r="Q441" s="90" t="s">
        <v>663</v>
      </c>
      <c r="R441" s="90"/>
      <c r="S441" s="90"/>
      <c r="T441" s="90"/>
      <c r="U441" s="90"/>
      <c r="V441" s="96" t="str">
        <f>HYPERLINK("https://pbs.twimg.com/profile_images/1447836349642461188/Mc3vK-as_normal.jpg")</f>
        <v>https://pbs.twimg.com/profile_images/1447836349642461188/Mc3vK-as_normal.jpg</v>
      </c>
      <c r="W441" s="93">
        <v>44530.92936342592</v>
      </c>
      <c r="X441" s="100">
        <v>44530</v>
      </c>
      <c r="Y441" s="97" t="s">
        <v>913</v>
      </c>
      <c r="Z441" s="96" t="str">
        <f>HYPERLINK("https://twitter.com/ekurzw/status/1465807422900031493")</f>
        <v>https://twitter.com/ekurzw/status/1465807422900031493</v>
      </c>
      <c r="AA441" s="90"/>
      <c r="AB441" s="90"/>
      <c r="AC441" s="97" t="s">
        <v>1165</v>
      </c>
      <c r="AD441" s="97" t="s">
        <v>1196</v>
      </c>
      <c r="AE441" s="90" t="b">
        <v>0</v>
      </c>
      <c r="AF441" s="90">
        <v>2</v>
      </c>
      <c r="AG441" s="97" t="s">
        <v>1425</v>
      </c>
      <c r="AH441" s="90" t="b">
        <v>0</v>
      </c>
      <c r="AI441" s="90" t="s">
        <v>1442</v>
      </c>
      <c r="AJ441" s="90"/>
      <c r="AK441" s="97" t="s">
        <v>1338</v>
      </c>
      <c r="AL441" s="90" t="b">
        <v>0</v>
      </c>
      <c r="AM441" s="90">
        <v>0</v>
      </c>
      <c r="AN441" s="97" t="s">
        <v>1338</v>
      </c>
      <c r="AO441" s="97" t="s">
        <v>1452</v>
      </c>
      <c r="AP441" s="90" t="b">
        <v>0</v>
      </c>
      <c r="AQ441" s="97" t="s">
        <v>1196</v>
      </c>
      <c r="AR441" s="90" t="s">
        <v>187</v>
      </c>
      <c r="AS441" s="90">
        <v>0</v>
      </c>
      <c r="AT441" s="90">
        <v>0</v>
      </c>
      <c r="AU441" s="90"/>
      <c r="AV441" s="90"/>
      <c r="AW441" s="90"/>
      <c r="AX441" s="90"/>
      <c r="AY441" s="90"/>
      <c r="AZ441" s="90"/>
      <c r="BA441" s="90"/>
      <c r="BB441" s="90"/>
      <c r="BC441">
        <v>1</v>
      </c>
      <c r="BD441" s="89" t="str">
        <f>REPLACE(INDEX(GroupVertices[Group],MATCH(Edges[[#This Row],[Vertex 1]],GroupVertices[Vertex],0)),1,1,"")</f>
        <v>3</v>
      </c>
      <c r="BE441" s="89" t="str">
        <f>REPLACE(INDEX(GroupVertices[Group],MATCH(Edges[[#This Row],[Vertex 2]],GroupVertices[Vertex],0)),1,1,"")</f>
        <v>3</v>
      </c>
      <c r="BF441" s="49"/>
      <c r="BG441" s="50"/>
      <c r="BH441" s="49"/>
      <c r="BI441" s="50"/>
      <c r="BJ441" s="49"/>
      <c r="BK441" s="50"/>
      <c r="BL441" s="49"/>
      <c r="BM441" s="50"/>
      <c r="BN441" s="49"/>
    </row>
    <row r="442" spans="1:66" ht="15">
      <c r="A442" s="65" t="s">
        <v>353</v>
      </c>
      <c r="B442" s="65" t="s">
        <v>368</v>
      </c>
      <c r="C442" s="66" t="s">
        <v>5817</v>
      </c>
      <c r="D442" s="67">
        <v>1</v>
      </c>
      <c r="E442" s="68" t="s">
        <v>132</v>
      </c>
      <c r="F442" s="69">
        <v>32</v>
      </c>
      <c r="G442" s="66" t="s">
        <v>51</v>
      </c>
      <c r="H442" s="70"/>
      <c r="I442" s="71"/>
      <c r="J442" s="71"/>
      <c r="K442" s="35" t="s">
        <v>65</v>
      </c>
      <c r="L442" s="79">
        <v>442</v>
      </c>
      <c r="M442" s="79"/>
      <c r="N442" s="73"/>
      <c r="O442" s="90" t="s">
        <v>523</v>
      </c>
      <c r="P442" s="93">
        <v>44530.92936342592</v>
      </c>
      <c r="Q442" s="90" t="s">
        <v>663</v>
      </c>
      <c r="R442" s="90"/>
      <c r="S442" s="90"/>
      <c r="T442" s="90"/>
      <c r="U442" s="90"/>
      <c r="V442" s="96" t="str">
        <f>HYPERLINK("https://pbs.twimg.com/profile_images/1447836349642461188/Mc3vK-as_normal.jpg")</f>
        <v>https://pbs.twimg.com/profile_images/1447836349642461188/Mc3vK-as_normal.jpg</v>
      </c>
      <c r="W442" s="93">
        <v>44530.92936342592</v>
      </c>
      <c r="X442" s="100">
        <v>44530</v>
      </c>
      <c r="Y442" s="97" t="s">
        <v>913</v>
      </c>
      <c r="Z442" s="96" t="str">
        <f>HYPERLINK("https://twitter.com/ekurzw/status/1465807422900031493")</f>
        <v>https://twitter.com/ekurzw/status/1465807422900031493</v>
      </c>
      <c r="AA442" s="90"/>
      <c r="AB442" s="90"/>
      <c r="AC442" s="97" t="s">
        <v>1165</v>
      </c>
      <c r="AD442" s="97" t="s">
        <v>1196</v>
      </c>
      <c r="AE442" s="90" t="b">
        <v>0</v>
      </c>
      <c r="AF442" s="90">
        <v>2</v>
      </c>
      <c r="AG442" s="97" t="s">
        <v>1425</v>
      </c>
      <c r="AH442" s="90" t="b">
        <v>0</v>
      </c>
      <c r="AI442" s="90" t="s">
        <v>1442</v>
      </c>
      <c r="AJ442" s="90"/>
      <c r="AK442" s="97" t="s">
        <v>1338</v>
      </c>
      <c r="AL442" s="90" t="b">
        <v>0</v>
      </c>
      <c r="AM442" s="90">
        <v>0</v>
      </c>
      <c r="AN442" s="97" t="s">
        <v>1338</v>
      </c>
      <c r="AO442" s="97" t="s">
        <v>1452</v>
      </c>
      <c r="AP442" s="90" t="b">
        <v>0</v>
      </c>
      <c r="AQ442" s="97" t="s">
        <v>1196</v>
      </c>
      <c r="AR442" s="90" t="s">
        <v>187</v>
      </c>
      <c r="AS442" s="90">
        <v>0</v>
      </c>
      <c r="AT442" s="90">
        <v>0</v>
      </c>
      <c r="AU442" s="90"/>
      <c r="AV442" s="90"/>
      <c r="AW442" s="90"/>
      <c r="AX442" s="90"/>
      <c r="AY442" s="90"/>
      <c r="AZ442" s="90"/>
      <c r="BA442" s="90"/>
      <c r="BB442" s="90"/>
      <c r="BC442">
        <v>1</v>
      </c>
      <c r="BD442" s="89" t="str">
        <f>REPLACE(INDEX(GroupVertices[Group],MATCH(Edges[[#This Row],[Vertex 1]],GroupVertices[Vertex],0)),1,1,"")</f>
        <v>3</v>
      </c>
      <c r="BE442" s="89" t="str">
        <f>REPLACE(INDEX(GroupVertices[Group],MATCH(Edges[[#This Row],[Vertex 2]],GroupVertices[Vertex],0)),1,1,"")</f>
        <v>3</v>
      </c>
      <c r="BF442" s="49">
        <v>0</v>
      </c>
      <c r="BG442" s="50">
        <v>0</v>
      </c>
      <c r="BH442" s="49">
        <v>0</v>
      </c>
      <c r="BI442" s="50">
        <v>0</v>
      </c>
      <c r="BJ442" s="49">
        <v>0</v>
      </c>
      <c r="BK442" s="50">
        <v>0</v>
      </c>
      <c r="BL442" s="49">
        <v>19</v>
      </c>
      <c r="BM442" s="50">
        <v>100</v>
      </c>
      <c r="BN442" s="49">
        <v>19</v>
      </c>
    </row>
    <row r="443" spans="1:66" ht="15">
      <c r="A443" s="65" t="s">
        <v>353</v>
      </c>
      <c r="B443" s="65" t="s">
        <v>430</v>
      </c>
      <c r="C443" s="66" t="s">
        <v>5817</v>
      </c>
      <c r="D443" s="67">
        <v>1</v>
      </c>
      <c r="E443" s="68" t="s">
        <v>132</v>
      </c>
      <c r="F443" s="69">
        <v>32</v>
      </c>
      <c r="G443" s="66" t="s">
        <v>51</v>
      </c>
      <c r="H443" s="70"/>
      <c r="I443" s="71"/>
      <c r="J443" s="71"/>
      <c r="K443" s="35" t="s">
        <v>65</v>
      </c>
      <c r="L443" s="79">
        <v>443</v>
      </c>
      <c r="M443" s="79"/>
      <c r="N443" s="73"/>
      <c r="O443" s="90" t="s">
        <v>525</v>
      </c>
      <c r="P443" s="93">
        <v>44530.92949074074</v>
      </c>
      <c r="Q443" s="90" t="s">
        <v>576</v>
      </c>
      <c r="R443" s="90"/>
      <c r="S443" s="90"/>
      <c r="T443" s="97" t="s">
        <v>712</v>
      </c>
      <c r="U443" s="96" t="str">
        <f>HYPERLINK("https://pbs.twimg.com/media/FFc5qVTVQAkWXE2.jpg")</f>
        <v>https://pbs.twimg.com/media/FFc5qVTVQAkWXE2.jpg</v>
      </c>
      <c r="V443" s="96" t="str">
        <f>HYPERLINK("https://pbs.twimg.com/media/FFc5qVTVQAkWXE2.jpg")</f>
        <v>https://pbs.twimg.com/media/FFc5qVTVQAkWXE2.jpg</v>
      </c>
      <c r="W443" s="93">
        <v>44530.92949074074</v>
      </c>
      <c r="X443" s="100">
        <v>44530</v>
      </c>
      <c r="Y443" s="97" t="s">
        <v>915</v>
      </c>
      <c r="Z443" s="96" t="str">
        <f>HYPERLINK("https://twitter.com/ekurzw/status/1465807469591109641")</f>
        <v>https://twitter.com/ekurzw/status/1465807469591109641</v>
      </c>
      <c r="AA443" s="90"/>
      <c r="AB443" s="90"/>
      <c r="AC443" s="97" t="s">
        <v>1167</v>
      </c>
      <c r="AD443" s="90"/>
      <c r="AE443" s="90" t="b">
        <v>0</v>
      </c>
      <c r="AF443" s="90">
        <v>0</v>
      </c>
      <c r="AG443" s="97" t="s">
        <v>1338</v>
      </c>
      <c r="AH443" s="90" t="b">
        <v>0</v>
      </c>
      <c r="AI443" s="90" t="s">
        <v>1442</v>
      </c>
      <c r="AJ443" s="90"/>
      <c r="AK443" s="97" t="s">
        <v>1338</v>
      </c>
      <c r="AL443" s="90" t="b">
        <v>0</v>
      </c>
      <c r="AM443" s="90">
        <v>18</v>
      </c>
      <c r="AN443" s="97" t="s">
        <v>1196</v>
      </c>
      <c r="AO443" s="97" t="s">
        <v>1452</v>
      </c>
      <c r="AP443" s="90" t="b">
        <v>0</v>
      </c>
      <c r="AQ443" s="97" t="s">
        <v>1196</v>
      </c>
      <c r="AR443" s="90" t="s">
        <v>187</v>
      </c>
      <c r="AS443" s="90">
        <v>0</v>
      </c>
      <c r="AT443" s="90">
        <v>0</v>
      </c>
      <c r="AU443" s="90"/>
      <c r="AV443" s="90"/>
      <c r="AW443" s="90"/>
      <c r="AX443" s="90"/>
      <c r="AY443" s="90"/>
      <c r="AZ443" s="90"/>
      <c r="BA443" s="90"/>
      <c r="BB443" s="90"/>
      <c r="BC443">
        <v>1</v>
      </c>
      <c r="BD443" s="89" t="str">
        <f>REPLACE(INDEX(GroupVertices[Group],MATCH(Edges[[#This Row],[Vertex 1]],GroupVertices[Vertex],0)),1,1,"")</f>
        <v>3</v>
      </c>
      <c r="BE443" s="89" t="str">
        <f>REPLACE(INDEX(GroupVertices[Group],MATCH(Edges[[#This Row],[Vertex 2]],GroupVertices[Vertex],0)),1,1,"")</f>
        <v>3</v>
      </c>
      <c r="BF443" s="49"/>
      <c r="BG443" s="50"/>
      <c r="BH443" s="49"/>
      <c r="BI443" s="50"/>
      <c r="BJ443" s="49"/>
      <c r="BK443" s="50"/>
      <c r="BL443" s="49"/>
      <c r="BM443" s="50"/>
      <c r="BN443" s="49"/>
    </row>
    <row r="444" spans="1:66" ht="15">
      <c r="A444" s="65" t="s">
        <v>353</v>
      </c>
      <c r="B444" s="65" t="s">
        <v>431</v>
      </c>
      <c r="C444" s="66" t="s">
        <v>5817</v>
      </c>
      <c r="D444" s="67">
        <v>1</v>
      </c>
      <c r="E444" s="68" t="s">
        <v>132</v>
      </c>
      <c r="F444" s="69">
        <v>32</v>
      </c>
      <c r="G444" s="66" t="s">
        <v>51</v>
      </c>
      <c r="H444" s="70"/>
      <c r="I444" s="71"/>
      <c r="J444" s="71"/>
      <c r="K444" s="35" t="s">
        <v>65</v>
      </c>
      <c r="L444" s="79">
        <v>444</v>
      </c>
      <c r="M444" s="79"/>
      <c r="N444" s="73"/>
      <c r="O444" s="90" t="s">
        <v>525</v>
      </c>
      <c r="P444" s="93">
        <v>44530.92949074074</v>
      </c>
      <c r="Q444" s="90" t="s">
        <v>576</v>
      </c>
      <c r="R444" s="90"/>
      <c r="S444" s="90"/>
      <c r="T444" s="97" t="s">
        <v>712</v>
      </c>
      <c r="U444" s="96" t="str">
        <f>HYPERLINK("https://pbs.twimg.com/media/FFc5qVTVQAkWXE2.jpg")</f>
        <v>https://pbs.twimg.com/media/FFc5qVTVQAkWXE2.jpg</v>
      </c>
      <c r="V444" s="96" t="str">
        <f>HYPERLINK("https://pbs.twimg.com/media/FFc5qVTVQAkWXE2.jpg")</f>
        <v>https://pbs.twimg.com/media/FFc5qVTVQAkWXE2.jpg</v>
      </c>
      <c r="W444" s="93">
        <v>44530.92949074074</v>
      </c>
      <c r="X444" s="100">
        <v>44530</v>
      </c>
      <c r="Y444" s="97" t="s">
        <v>915</v>
      </c>
      <c r="Z444" s="96" t="str">
        <f>HYPERLINK("https://twitter.com/ekurzw/status/1465807469591109641")</f>
        <v>https://twitter.com/ekurzw/status/1465807469591109641</v>
      </c>
      <c r="AA444" s="90"/>
      <c r="AB444" s="90"/>
      <c r="AC444" s="97" t="s">
        <v>1167</v>
      </c>
      <c r="AD444" s="90"/>
      <c r="AE444" s="90" t="b">
        <v>0</v>
      </c>
      <c r="AF444" s="90">
        <v>0</v>
      </c>
      <c r="AG444" s="97" t="s">
        <v>1338</v>
      </c>
      <c r="AH444" s="90" t="b">
        <v>0</v>
      </c>
      <c r="AI444" s="90" t="s">
        <v>1442</v>
      </c>
      <c r="AJ444" s="90"/>
      <c r="AK444" s="97" t="s">
        <v>1338</v>
      </c>
      <c r="AL444" s="90" t="b">
        <v>0</v>
      </c>
      <c r="AM444" s="90">
        <v>18</v>
      </c>
      <c r="AN444" s="97" t="s">
        <v>1196</v>
      </c>
      <c r="AO444" s="97" t="s">
        <v>1452</v>
      </c>
      <c r="AP444" s="90" t="b">
        <v>0</v>
      </c>
      <c r="AQ444" s="97" t="s">
        <v>1196</v>
      </c>
      <c r="AR444" s="90" t="s">
        <v>187</v>
      </c>
      <c r="AS444" s="90">
        <v>0</v>
      </c>
      <c r="AT444" s="90">
        <v>0</v>
      </c>
      <c r="AU444" s="90"/>
      <c r="AV444" s="90"/>
      <c r="AW444" s="90"/>
      <c r="AX444" s="90"/>
      <c r="AY444" s="90"/>
      <c r="AZ444" s="90"/>
      <c r="BA444" s="90"/>
      <c r="BB444" s="90"/>
      <c r="BC444">
        <v>1</v>
      </c>
      <c r="BD444" s="89" t="str">
        <f>REPLACE(INDEX(GroupVertices[Group],MATCH(Edges[[#This Row],[Vertex 1]],GroupVertices[Vertex],0)),1,1,"")</f>
        <v>3</v>
      </c>
      <c r="BE444" s="89" t="str">
        <f>REPLACE(INDEX(GroupVertices[Group],MATCH(Edges[[#This Row],[Vertex 2]],GroupVertices[Vertex],0)),1,1,"")</f>
        <v>3</v>
      </c>
      <c r="BF444" s="49"/>
      <c r="BG444" s="50"/>
      <c r="BH444" s="49"/>
      <c r="BI444" s="50"/>
      <c r="BJ444" s="49"/>
      <c r="BK444" s="50"/>
      <c r="BL444" s="49"/>
      <c r="BM444" s="50"/>
      <c r="BN444" s="49"/>
    </row>
    <row r="445" spans="1:66" ht="15">
      <c r="A445" s="65" t="s">
        <v>353</v>
      </c>
      <c r="B445" s="65" t="s">
        <v>368</v>
      </c>
      <c r="C445" s="66" t="s">
        <v>5817</v>
      </c>
      <c r="D445" s="67">
        <v>1</v>
      </c>
      <c r="E445" s="68" t="s">
        <v>132</v>
      </c>
      <c r="F445" s="69">
        <v>32</v>
      </c>
      <c r="G445" s="66" t="s">
        <v>51</v>
      </c>
      <c r="H445" s="70"/>
      <c r="I445" s="71"/>
      <c r="J445" s="71"/>
      <c r="K445" s="35" t="s">
        <v>65</v>
      </c>
      <c r="L445" s="79">
        <v>445</v>
      </c>
      <c r="M445" s="79"/>
      <c r="N445" s="73"/>
      <c r="O445" s="90" t="s">
        <v>522</v>
      </c>
      <c r="P445" s="93">
        <v>44530.92949074074</v>
      </c>
      <c r="Q445" s="90" t="s">
        <v>576</v>
      </c>
      <c r="R445" s="90"/>
      <c r="S445" s="90"/>
      <c r="T445" s="97" t="s">
        <v>712</v>
      </c>
      <c r="U445" s="96" t="str">
        <f>HYPERLINK("https://pbs.twimg.com/media/FFc5qVTVQAkWXE2.jpg")</f>
        <v>https://pbs.twimg.com/media/FFc5qVTVQAkWXE2.jpg</v>
      </c>
      <c r="V445" s="96" t="str">
        <f>HYPERLINK("https://pbs.twimg.com/media/FFc5qVTVQAkWXE2.jpg")</f>
        <v>https://pbs.twimg.com/media/FFc5qVTVQAkWXE2.jpg</v>
      </c>
      <c r="W445" s="93">
        <v>44530.92949074074</v>
      </c>
      <c r="X445" s="100">
        <v>44530</v>
      </c>
      <c r="Y445" s="97" t="s">
        <v>915</v>
      </c>
      <c r="Z445" s="96" t="str">
        <f>HYPERLINK("https://twitter.com/ekurzw/status/1465807469591109641")</f>
        <v>https://twitter.com/ekurzw/status/1465807469591109641</v>
      </c>
      <c r="AA445" s="90"/>
      <c r="AB445" s="90"/>
      <c r="AC445" s="97" t="s">
        <v>1167</v>
      </c>
      <c r="AD445" s="90"/>
      <c r="AE445" s="90" t="b">
        <v>0</v>
      </c>
      <c r="AF445" s="90">
        <v>0</v>
      </c>
      <c r="AG445" s="97" t="s">
        <v>1338</v>
      </c>
      <c r="AH445" s="90" t="b">
        <v>0</v>
      </c>
      <c r="AI445" s="90" t="s">
        <v>1442</v>
      </c>
      <c r="AJ445" s="90"/>
      <c r="AK445" s="97" t="s">
        <v>1338</v>
      </c>
      <c r="AL445" s="90" t="b">
        <v>0</v>
      </c>
      <c r="AM445" s="90">
        <v>18</v>
      </c>
      <c r="AN445" s="97" t="s">
        <v>1196</v>
      </c>
      <c r="AO445" s="97" t="s">
        <v>1452</v>
      </c>
      <c r="AP445" s="90" t="b">
        <v>0</v>
      </c>
      <c r="AQ445" s="97" t="s">
        <v>1196</v>
      </c>
      <c r="AR445" s="90" t="s">
        <v>187</v>
      </c>
      <c r="AS445" s="90">
        <v>0</v>
      </c>
      <c r="AT445" s="90">
        <v>0</v>
      </c>
      <c r="AU445" s="90"/>
      <c r="AV445" s="90"/>
      <c r="AW445" s="90"/>
      <c r="AX445" s="90"/>
      <c r="AY445" s="90"/>
      <c r="AZ445" s="90"/>
      <c r="BA445" s="90"/>
      <c r="BB445" s="90"/>
      <c r="BC445">
        <v>1</v>
      </c>
      <c r="BD445" s="89" t="str">
        <f>REPLACE(INDEX(GroupVertices[Group],MATCH(Edges[[#This Row],[Vertex 1]],GroupVertices[Vertex],0)),1,1,"")</f>
        <v>3</v>
      </c>
      <c r="BE445" s="89" t="str">
        <f>REPLACE(INDEX(GroupVertices[Group],MATCH(Edges[[#This Row],[Vertex 2]],GroupVertices[Vertex],0)),1,1,"")</f>
        <v>3</v>
      </c>
      <c r="BF445" s="49">
        <v>0</v>
      </c>
      <c r="BG445" s="50">
        <v>0</v>
      </c>
      <c r="BH445" s="49">
        <v>0</v>
      </c>
      <c r="BI445" s="50">
        <v>0</v>
      </c>
      <c r="BJ445" s="49">
        <v>0</v>
      </c>
      <c r="BK445" s="50">
        <v>0</v>
      </c>
      <c r="BL445" s="49">
        <v>13</v>
      </c>
      <c r="BM445" s="50">
        <v>100</v>
      </c>
      <c r="BN445" s="49">
        <v>13</v>
      </c>
    </row>
    <row r="446" spans="1:66" ht="15">
      <c r="A446" s="65" t="s">
        <v>353</v>
      </c>
      <c r="B446" s="65" t="s">
        <v>374</v>
      </c>
      <c r="C446" s="66" t="s">
        <v>5817</v>
      </c>
      <c r="D446" s="67">
        <v>1</v>
      </c>
      <c r="E446" s="68" t="s">
        <v>132</v>
      </c>
      <c r="F446" s="69">
        <v>32</v>
      </c>
      <c r="G446" s="66" t="s">
        <v>51</v>
      </c>
      <c r="H446" s="70"/>
      <c r="I446" s="71"/>
      <c r="J446" s="71"/>
      <c r="K446" s="35" t="s">
        <v>65</v>
      </c>
      <c r="L446" s="79">
        <v>446</v>
      </c>
      <c r="M446" s="79"/>
      <c r="N446" s="73"/>
      <c r="O446" s="90" t="s">
        <v>522</v>
      </c>
      <c r="P446" s="93">
        <v>44532.896203703705</v>
      </c>
      <c r="Q446" s="90" t="s">
        <v>656</v>
      </c>
      <c r="R446" s="96" t="str">
        <f>HYPERLINK("https://twitter.com/millatiuni/status/1466446380843606025")</f>
        <v>https://twitter.com/millatiuni/status/1466446380843606025</v>
      </c>
      <c r="S446" s="90" t="s">
        <v>693</v>
      </c>
      <c r="T446" s="90"/>
      <c r="U446" s="90"/>
      <c r="V446" s="96" t="str">
        <f>HYPERLINK("https://pbs.twimg.com/profile_images/1447836349642461188/Mc3vK-as_normal.jpg")</f>
        <v>https://pbs.twimg.com/profile_images/1447836349642461188/Mc3vK-as_normal.jpg</v>
      </c>
      <c r="W446" s="93">
        <v>44532.896203703705</v>
      </c>
      <c r="X446" s="100">
        <v>44532</v>
      </c>
      <c r="Y446" s="97" t="s">
        <v>916</v>
      </c>
      <c r="Z446" s="96" t="str">
        <f>HYPERLINK("https://twitter.com/ekurzw/status/1466520181044359173")</f>
        <v>https://twitter.com/ekurzw/status/1466520181044359173</v>
      </c>
      <c r="AA446" s="90"/>
      <c r="AB446" s="90"/>
      <c r="AC446" s="97" t="s">
        <v>1168</v>
      </c>
      <c r="AD446" s="90"/>
      <c r="AE446" s="90" t="b">
        <v>0</v>
      </c>
      <c r="AF446" s="90">
        <v>0</v>
      </c>
      <c r="AG446" s="97" t="s">
        <v>1338</v>
      </c>
      <c r="AH446" s="90" t="b">
        <v>1</v>
      </c>
      <c r="AI446" s="90" t="s">
        <v>1442</v>
      </c>
      <c r="AJ446" s="90"/>
      <c r="AK446" s="97" t="s">
        <v>1448</v>
      </c>
      <c r="AL446" s="90" t="b">
        <v>0</v>
      </c>
      <c r="AM446" s="90">
        <v>29</v>
      </c>
      <c r="AN446" s="97" t="s">
        <v>1218</v>
      </c>
      <c r="AO446" s="97" t="s">
        <v>1452</v>
      </c>
      <c r="AP446" s="90" t="b">
        <v>0</v>
      </c>
      <c r="AQ446" s="97" t="s">
        <v>1218</v>
      </c>
      <c r="AR446" s="90" t="s">
        <v>187</v>
      </c>
      <c r="AS446" s="90">
        <v>0</v>
      </c>
      <c r="AT446" s="90">
        <v>0</v>
      </c>
      <c r="AU446" s="90"/>
      <c r="AV446" s="90"/>
      <c r="AW446" s="90"/>
      <c r="AX446" s="90"/>
      <c r="AY446" s="90"/>
      <c r="AZ446" s="90"/>
      <c r="BA446" s="90"/>
      <c r="BB446" s="90"/>
      <c r="BC446">
        <v>1</v>
      </c>
      <c r="BD446" s="89" t="str">
        <f>REPLACE(INDEX(GroupVertices[Group],MATCH(Edges[[#This Row],[Vertex 1]],GroupVertices[Vertex],0)),1,1,"")</f>
        <v>3</v>
      </c>
      <c r="BE446" s="89" t="str">
        <f>REPLACE(INDEX(GroupVertices[Group],MATCH(Edges[[#This Row],[Vertex 2]],GroupVertices[Vertex],0)),1,1,"")</f>
        <v>1</v>
      </c>
      <c r="BF446" s="49">
        <v>0</v>
      </c>
      <c r="BG446" s="50">
        <v>0</v>
      </c>
      <c r="BH446" s="49">
        <v>0</v>
      </c>
      <c r="BI446" s="50">
        <v>0</v>
      </c>
      <c r="BJ446" s="49">
        <v>0</v>
      </c>
      <c r="BK446" s="50">
        <v>0</v>
      </c>
      <c r="BL446" s="49">
        <v>6</v>
      </c>
      <c r="BM446" s="50">
        <v>100</v>
      </c>
      <c r="BN446" s="49">
        <v>6</v>
      </c>
    </row>
    <row r="447" spans="1:66" ht="15">
      <c r="A447" s="65" t="s">
        <v>354</v>
      </c>
      <c r="B447" s="65" t="s">
        <v>374</v>
      </c>
      <c r="C447" s="66" t="s">
        <v>5817</v>
      </c>
      <c r="D447" s="67">
        <v>1</v>
      </c>
      <c r="E447" s="68" t="s">
        <v>132</v>
      </c>
      <c r="F447" s="69">
        <v>32</v>
      </c>
      <c r="G447" s="66" t="s">
        <v>51</v>
      </c>
      <c r="H447" s="70"/>
      <c r="I447" s="71"/>
      <c r="J447" s="71"/>
      <c r="K447" s="35" t="s">
        <v>65</v>
      </c>
      <c r="L447" s="79">
        <v>447</v>
      </c>
      <c r="M447" s="79"/>
      <c r="N447" s="73"/>
      <c r="O447" s="90" t="s">
        <v>522</v>
      </c>
      <c r="P447" s="93">
        <v>44533.17303240741</v>
      </c>
      <c r="Q447" s="90" t="s">
        <v>656</v>
      </c>
      <c r="R447" s="96" t="str">
        <f>HYPERLINK("https://twitter.com/millatiuni/status/1466446380843606025")</f>
        <v>https://twitter.com/millatiuni/status/1466446380843606025</v>
      </c>
      <c r="S447" s="90" t="s">
        <v>693</v>
      </c>
      <c r="T447" s="90"/>
      <c r="U447" s="90"/>
      <c r="V447" s="96" t="str">
        <f>HYPERLINK("https://pbs.twimg.com/profile_images/1381607773956374531/xMyIqLWA_normal.jpg")</f>
        <v>https://pbs.twimg.com/profile_images/1381607773956374531/xMyIqLWA_normal.jpg</v>
      </c>
      <c r="W447" s="93">
        <v>44533.17303240741</v>
      </c>
      <c r="X447" s="100">
        <v>44533</v>
      </c>
      <c r="Y447" s="97" t="s">
        <v>917</v>
      </c>
      <c r="Z447" s="96" t="str">
        <f>HYPERLINK("https://twitter.com/p_suvi/status/1466620501976137728")</f>
        <v>https://twitter.com/p_suvi/status/1466620501976137728</v>
      </c>
      <c r="AA447" s="90"/>
      <c r="AB447" s="90"/>
      <c r="AC447" s="97" t="s">
        <v>1169</v>
      </c>
      <c r="AD447" s="90"/>
      <c r="AE447" s="90" t="b">
        <v>0</v>
      </c>
      <c r="AF447" s="90">
        <v>0</v>
      </c>
      <c r="AG447" s="97" t="s">
        <v>1338</v>
      </c>
      <c r="AH447" s="90" t="b">
        <v>1</v>
      </c>
      <c r="AI447" s="90" t="s">
        <v>1442</v>
      </c>
      <c r="AJ447" s="90"/>
      <c r="AK447" s="97" t="s">
        <v>1448</v>
      </c>
      <c r="AL447" s="90" t="b">
        <v>0</v>
      </c>
      <c r="AM447" s="90">
        <v>29</v>
      </c>
      <c r="AN447" s="97" t="s">
        <v>1218</v>
      </c>
      <c r="AO447" s="97" t="s">
        <v>1452</v>
      </c>
      <c r="AP447" s="90" t="b">
        <v>0</v>
      </c>
      <c r="AQ447" s="97" t="s">
        <v>1218</v>
      </c>
      <c r="AR447" s="90" t="s">
        <v>187</v>
      </c>
      <c r="AS447" s="90">
        <v>0</v>
      </c>
      <c r="AT447" s="90">
        <v>0</v>
      </c>
      <c r="AU447" s="90"/>
      <c r="AV447" s="90"/>
      <c r="AW447" s="90"/>
      <c r="AX447" s="90"/>
      <c r="AY447" s="90"/>
      <c r="AZ447" s="90"/>
      <c r="BA447" s="90"/>
      <c r="BB447" s="90"/>
      <c r="BC447">
        <v>1</v>
      </c>
      <c r="BD447" s="89" t="str">
        <f>REPLACE(INDEX(GroupVertices[Group],MATCH(Edges[[#This Row],[Vertex 1]],GroupVertices[Vertex],0)),1,1,"")</f>
        <v>1</v>
      </c>
      <c r="BE447" s="89" t="str">
        <f>REPLACE(INDEX(GroupVertices[Group],MATCH(Edges[[#This Row],[Vertex 2]],GroupVertices[Vertex],0)),1,1,"")</f>
        <v>1</v>
      </c>
      <c r="BF447" s="49">
        <v>0</v>
      </c>
      <c r="BG447" s="50">
        <v>0</v>
      </c>
      <c r="BH447" s="49">
        <v>0</v>
      </c>
      <c r="BI447" s="50">
        <v>0</v>
      </c>
      <c r="BJ447" s="49">
        <v>0</v>
      </c>
      <c r="BK447" s="50">
        <v>0</v>
      </c>
      <c r="BL447" s="49">
        <v>6</v>
      </c>
      <c r="BM447" s="50">
        <v>100</v>
      </c>
      <c r="BN447" s="49">
        <v>6</v>
      </c>
    </row>
    <row r="448" spans="1:66" ht="15">
      <c r="A448" s="65" t="s">
        <v>355</v>
      </c>
      <c r="B448" s="65" t="s">
        <v>349</v>
      </c>
      <c r="C448" s="66" t="s">
        <v>5817</v>
      </c>
      <c r="D448" s="67">
        <v>1</v>
      </c>
      <c r="E448" s="68" t="s">
        <v>132</v>
      </c>
      <c r="F448" s="69">
        <v>32</v>
      </c>
      <c r="G448" s="66" t="s">
        <v>51</v>
      </c>
      <c r="H448" s="70"/>
      <c r="I448" s="71"/>
      <c r="J448" s="71"/>
      <c r="K448" s="35" t="s">
        <v>65</v>
      </c>
      <c r="L448" s="79">
        <v>448</v>
      </c>
      <c r="M448" s="79"/>
      <c r="N448" s="73"/>
      <c r="O448" s="90" t="s">
        <v>522</v>
      </c>
      <c r="P448" s="93">
        <v>44533.211851851855</v>
      </c>
      <c r="Q448" s="90" t="s">
        <v>664</v>
      </c>
      <c r="R448" s="90"/>
      <c r="S448" s="90"/>
      <c r="T448" s="90"/>
      <c r="U448" s="90"/>
      <c r="V448" s="96" t="str">
        <f>HYPERLINK("https://pbs.twimg.com/profile_images/1349233390600511488/9WFInaEF_normal.jpg")</f>
        <v>https://pbs.twimg.com/profile_images/1349233390600511488/9WFInaEF_normal.jpg</v>
      </c>
      <c r="W448" s="93">
        <v>44533.211851851855</v>
      </c>
      <c r="X448" s="100">
        <v>44533</v>
      </c>
      <c r="Y448" s="97" t="s">
        <v>918</v>
      </c>
      <c r="Z448" s="96" t="str">
        <f>HYPERLINK("https://twitter.com/pauliin32733008/status/1466634568140734465")</f>
        <v>https://twitter.com/pauliin32733008/status/1466634568140734465</v>
      </c>
      <c r="AA448" s="90"/>
      <c r="AB448" s="90"/>
      <c r="AC448" s="97" t="s">
        <v>1170</v>
      </c>
      <c r="AD448" s="90"/>
      <c r="AE448" s="90" t="b">
        <v>0</v>
      </c>
      <c r="AF448" s="90">
        <v>0</v>
      </c>
      <c r="AG448" s="97" t="s">
        <v>1338</v>
      </c>
      <c r="AH448" s="90" t="b">
        <v>0</v>
      </c>
      <c r="AI448" s="90" t="s">
        <v>1442</v>
      </c>
      <c r="AJ448" s="90"/>
      <c r="AK448" s="97" t="s">
        <v>1338</v>
      </c>
      <c r="AL448" s="90" t="b">
        <v>0</v>
      </c>
      <c r="AM448" s="90">
        <v>3</v>
      </c>
      <c r="AN448" s="97" t="s">
        <v>1203</v>
      </c>
      <c r="AO448" s="97" t="s">
        <v>1451</v>
      </c>
      <c r="AP448" s="90" t="b">
        <v>0</v>
      </c>
      <c r="AQ448" s="97" t="s">
        <v>1203</v>
      </c>
      <c r="AR448" s="90" t="s">
        <v>187</v>
      </c>
      <c r="AS448" s="90">
        <v>0</v>
      </c>
      <c r="AT448" s="90">
        <v>0</v>
      </c>
      <c r="AU448" s="90"/>
      <c r="AV448" s="90"/>
      <c r="AW448" s="90"/>
      <c r="AX448" s="90"/>
      <c r="AY448" s="90"/>
      <c r="AZ448" s="90"/>
      <c r="BA448" s="90"/>
      <c r="BB448" s="90"/>
      <c r="BC448">
        <v>1</v>
      </c>
      <c r="BD448" s="89" t="str">
        <f>REPLACE(INDEX(GroupVertices[Group],MATCH(Edges[[#This Row],[Vertex 1]],GroupVertices[Vertex],0)),1,1,"")</f>
        <v>5</v>
      </c>
      <c r="BE448" s="89" t="str">
        <f>REPLACE(INDEX(GroupVertices[Group],MATCH(Edges[[#This Row],[Vertex 2]],GroupVertices[Vertex],0)),1,1,"")</f>
        <v>5</v>
      </c>
      <c r="BF448" s="49"/>
      <c r="BG448" s="50"/>
      <c r="BH448" s="49"/>
      <c r="BI448" s="50"/>
      <c r="BJ448" s="49"/>
      <c r="BK448" s="50"/>
      <c r="BL448" s="49"/>
      <c r="BM448" s="50"/>
      <c r="BN448" s="49"/>
    </row>
    <row r="449" spans="1:66" ht="15">
      <c r="A449" s="65" t="s">
        <v>355</v>
      </c>
      <c r="B449" s="65" t="s">
        <v>501</v>
      </c>
      <c r="C449" s="66" t="s">
        <v>5817</v>
      </c>
      <c r="D449" s="67">
        <v>1</v>
      </c>
      <c r="E449" s="68" t="s">
        <v>132</v>
      </c>
      <c r="F449" s="69">
        <v>32</v>
      </c>
      <c r="G449" s="66" t="s">
        <v>51</v>
      </c>
      <c r="H449" s="70"/>
      <c r="I449" s="71"/>
      <c r="J449" s="71"/>
      <c r="K449" s="35" t="s">
        <v>65</v>
      </c>
      <c r="L449" s="79">
        <v>449</v>
      </c>
      <c r="M449" s="79"/>
      <c r="N449" s="73"/>
      <c r="O449" s="90" t="s">
        <v>523</v>
      </c>
      <c r="P449" s="93">
        <v>44533.211851851855</v>
      </c>
      <c r="Q449" s="90" t="s">
        <v>664</v>
      </c>
      <c r="R449" s="90"/>
      <c r="S449" s="90"/>
      <c r="T449" s="90"/>
      <c r="U449" s="90"/>
      <c r="V449" s="96" t="str">
        <f>HYPERLINK("https://pbs.twimg.com/profile_images/1349233390600511488/9WFInaEF_normal.jpg")</f>
        <v>https://pbs.twimg.com/profile_images/1349233390600511488/9WFInaEF_normal.jpg</v>
      </c>
      <c r="W449" s="93">
        <v>44533.211851851855</v>
      </c>
      <c r="X449" s="100">
        <v>44533</v>
      </c>
      <c r="Y449" s="97" t="s">
        <v>918</v>
      </c>
      <c r="Z449" s="96" t="str">
        <f>HYPERLINK("https://twitter.com/pauliin32733008/status/1466634568140734465")</f>
        <v>https://twitter.com/pauliin32733008/status/1466634568140734465</v>
      </c>
      <c r="AA449" s="90"/>
      <c r="AB449" s="90"/>
      <c r="AC449" s="97" t="s">
        <v>1170</v>
      </c>
      <c r="AD449" s="90"/>
      <c r="AE449" s="90" t="b">
        <v>0</v>
      </c>
      <c r="AF449" s="90">
        <v>0</v>
      </c>
      <c r="AG449" s="97" t="s">
        <v>1338</v>
      </c>
      <c r="AH449" s="90" t="b">
        <v>0</v>
      </c>
      <c r="AI449" s="90" t="s">
        <v>1442</v>
      </c>
      <c r="AJ449" s="90"/>
      <c r="AK449" s="97" t="s">
        <v>1338</v>
      </c>
      <c r="AL449" s="90" t="b">
        <v>0</v>
      </c>
      <c r="AM449" s="90">
        <v>3</v>
      </c>
      <c r="AN449" s="97" t="s">
        <v>1203</v>
      </c>
      <c r="AO449" s="97" t="s">
        <v>1451</v>
      </c>
      <c r="AP449" s="90" t="b">
        <v>0</v>
      </c>
      <c r="AQ449" s="97" t="s">
        <v>1203</v>
      </c>
      <c r="AR449" s="90" t="s">
        <v>187</v>
      </c>
      <c r="AS449" s="90">
        <v>0</v>
      </c>
      <c r="AT449" s="90">
        <v>0</v>
      </c>
      <c r="AU449" s="90"/>
      <c r="AV449" s="90"/>
      <c r="AW449" s="90"/>
      <c r="AX449" s="90"/>
      <c r="AY449" s="90"/>
      <c r="AZ449" s="90"/>
      <c r="BA449" s="90"/>
      <c r="BB449" s="90"/>
      <c r="BC449">
        <v>1</v>
      </c>
      <c r="BD449" s="89" t="str">
        <f>REPLACE(INDEX(GroupVertices[Group],MATCH(Edges[[#This Row],[Vertex 1]],GroupVertices[Vertex],0)),1,1,"")</f>
        <v>5</v>
      </c>
      <c r="BE449" s="89" t="str">
        <f>REPLACE(INDEX(GroupVertices[Group],MATCH(Edges[[#This Row],[Vertex 2]],GroupVertices[Vertex],0)),1,1,"")</f>
        <v>5</v>
      </c>
      <c r="BF449" s="49">
        <v>1</v>
      </c>
      <c r="BG449" s="50">
        <v>2.7027027027027026</v>
      </c>
      <c r="BH449" s="49">
        <v>0</v>
      </c>
      <c r="BI449" s="50">
        <v>0</v>
      </c>
      <c r="BJ449" s="49">
        <v>0</v>
      </c>
      <c r="BK449" s="50">
        <v>0</v>
      </c>
      <c r="BL449" s="49">
        <v>36</v>
      </c>
      <c r="BM449" s="50">
        <v>97.29729729729729</v>
      </c>
      <c r="BN449" s="49">
        <v>37</v>
      </c>
    </row>
    <row r="450" spans="1:66" ht="15">
      <c r="A450" s="65" t="s">
        <v>356</v>
      </c>
      <c r="B450" s="65" t="s">
        <v>356</v>
      </c>
      <c r="C450" s="66" t="s">
        <v>5817</v>
      </c>
      <c r="D450" s="67">
        <v>1</v>
      </c>
      <c r="E450" s="68" t="s">
        <v>132</v>
      </c>
      <c r="F450" s="69">
        <v>32</v>
      </c>
      <c r="G450" s="66" t="s">
        <v>51</v>
      </c>
      <c r="H450" s="70"/>
      <c r="I450" s="71"/>
      <c r="J450" s="71"/>
      <c r="K450" s="35" t="s">
        <v>65</v>
      </c>
      <c r="L450" s="79">
        <v>450</v>
      </c>
      <c r="M450" s="79"/>
      <c r="N450" s="73"/>
      <c r="O450" s="90" t="s">
        <v>187</v>
      </c>
      <c r="P450" s="93">
        <v>44530.88752314815</v>
      </c>
      <c r="Q450" s="90" t="s">
        <v>583</v>
      </c>
      <c r="R450" s="96" t="str">
        <f>HYPERLINK("https://twitter.com/KorpinenLaura/status/1465773688918364174")</f>
        <v>https://twitter.com/KorpinenLaura/status/1465773688918364174</v>
      </c>
      <c r="S450" s="90" t="s">
        <v>693</v>
      </c>
      <c r="T450" s="97" t="s">
        <v>712</v>
      </c>
      <c r="U450" s="90"/>
      <c r="V450" s="96" t="str">
        <f>HYPERLINK("https://pbs.twimg.com/profile_images/1462370096505106436/gc7Kb9br_normal.jpg")</f>
        <v>https://pbs.twimg.com/profile_images/1462370096505106436/gc7Kb9br_normal.jpg</v>
      </c>
      <c r="W450" s="93">
        <v>44530.88752314815</v>
      </c>
      <c r="X450" s="100">
        <v>44530</v>
      </c>
      <c r="Y450" s="97" t="s">
        <v>919</v>
      </c>
      <c r="Z450" s="96" t="str">
        <f>HYPERLINK("https://twitter.com/petterileppa/status/1465792261791399946")</f>
        <v>https://twitter.com/petterileppa/status/1465792261791399946</v>
      </c>
      <c r="AA450" s="90"/>
      <c r="AB450" s="90"/>
      <c r="AC450" s="97" t="s">
        <v>1171</v>
      </c>
      <c r="AD450" s="90"/>
      <c r="AE450" s="90" t="b">
        <v>0</v>
      </c>
      <c r="AF450" s="90">
        <v>48</v>
      </c>
      <c r="AG450" s="97" t="s">
        <v>1338</v>
      </c>
      <c r="AH450" s="90" t="b">
        <v>1</v>
      </c>
      <c r="AI450" s="90" t="s">
        <v>1442</v>
      </c>
      <c r="AJ450" s="90"/>
      <c r="AK450" s="97" t="s">
        <v>1301</v>
      </c>
      <c r="AL450" s="90" t="b">
        <v>0</v>
      </c>
      <c r="AM450" s="90">
        <v>10</v>
      </c>
      <c r="AN450" s="97" t="s">
        <v>1338</v>
      </c>
      <c r="AO450" s="97" t="s">
        <v>1452</v>
      </c>
      <c r="AP450" s="90" t="b">
        <v>0</v>
      </c>
      <c r="AQ450" s="97" t="s">
        <v>1171</v>
      </c>
      <c r="AR450" s="90" t="s">
        <v>187</v>
      </c>
      <c r="AS450" s="90">
        <v>0</v>
      </c>
      <c r="AT450" s="90">
        <v>0</v>
      </c>
      <c r="AU450" s="90"/>
      <c r="AV450" s="90"/>
      <c r="AW450" s="90"/>
      <c r="AX450" s="90"/>
      <c r="AY450" s="90"/>
      <c r="AZ450" s="90"/>
      <c r="BA450" s="90"/>
      <c r="BB450" s="90"/>
      <c r="BC450">
        <v>1</v>
      </c>
      <c r="BD450" s="89" t="str">
        <f>REPLACE(INDEX(GroupVertices[Group],MATCH(Edges[[#This Row],[Vertex 1]],GroupVertices[Vertex],0)),1,1,"")</f>
        <v>1</v>
      </c>
      <c r="BE450" s="89" t="str">
        <f>REPLACE(INDEX(GroupVertices[Group],MATCH(Edges[[#This Row],[Vertex 2]],GroupVertices[Vertex],0)),1,1,"")</f>
        <v>1</v>
      </c>
      <c r="BF450" s="49">
        <v>0</v>
      </c>
      <c r="BG450" s="50">
        <v>0</v>
      </c>
      <c r="BH450" s="49">
        <v>0</v>
      </c>
      <c r="BI450" s="50">
        <v>0</v>
      </c>
      <c r="BJ450" s="49">
        <v>0</v>
      </c>
      <c r="BK450" s="50">
        <v>0</v>
      </c>
      <c r="BL450" s="49">
        <v>16</v>
      </c>
      <c r="BM450" s="50">
        <v>100</v>
      </c>
      <c r="BN450" s="49">
        <v>16</v>
      </c>
    </row>
    <row r="451" spans="1:66" ht="15">
      <c r="A451" s="65" t="s">
        <v>357</v>
      </c>
      <c r="B451" s="65" t="s">
        <v>356</v>
      </c>
      <c r="C451" s="66" t="s">
        <v>5817</v>
      </c>
      <c r="D451" s="67">
        <v>1</v>
      </c>
      <c r="E451" s="68" t="s">
        <v>132</v>
      </c>
      <c r="F451" s="69">
        <v>32</v>
      </c>
      <c r="G451" s="66" t="s">
        <v>51</v>
      </c>
      <c r="H451" s="70"/>
      <c r="I451" s="71"/>
      <c r="J451" s="71"/>
      <c r="K451" s="35" t="s">
        <v>65</v>
      </c>
      <c r="L451" s="79">
        <v>451</v>
      </c>
      <c r="M451" s="79"/>
      <c r="N451" s="73"/>
      <c r="O451" s="90" t="s">
        <v>522</v>
      </c>
      <c r="P451" s="93">
        <v>44531.21471064815</v>
      </c>
      <c r="Q451" s="90" t="s">
        <v>583</v>
      </c>
      <c r="R451" s="96" t="str">
        <f>HYPERLINK("https://twitter.com/KorpinenLaura/status/1465773688918364174")</f>
        <v>https://twitter.com/KorpinenLaura/status/1465773688918364174</v>
      </c>
      <c r="S451" s="90" t="s">
        <v>693</v>
      </c>
      <c r="T451" s="97" t="s">
        <v>712</v>
      </c>
      <c r="U451" s="90"/>
      <c r="V451" s="96" t="str">
        <f>HYPERLINK("https://pbs.twimg.com/profile_images/1165647981338607616/GdBQJ6S0_normal.jpg")</f>
        <v>https://pbs.twimg.com/profile_images/1165647981338607616/GdBQJ6S0_normal.jpg</v>
      </c>
      <c r="W451" s="93">
        <v>44531.21471064815</v>
      </c>
      <c r="X451" s="100">
        <v>44531</v>
      </c>
      <c r="Y451" s="97" t="s">
        <v>920</v>
      </c>
      <c r="Z451" s="96" t="str">
        <f>HYPERLINK("https://twitter.com/jt36292090/status/1465910827685490691")</f>
        <v>https://twitter.com/jt36292090/status/1465910827685490691</v>
      </c>
      <c r="AA451" s="90"/>
      <c r="AB451" s="90"/>
      <c r="AC451" s="97" t="s">
        <v>1172</v>
      </c>
      <c r="AD451" s="90"/>
      <c r="AE451" s="90" t="b">
        <v>0</v>
      </c>
      <c r="AF451" s="90">
        <v>0</v>
      </c>
      <c r="AG451" s="97" t="s">
        <v>1338</v>
      </c>
      <c r="AH451" s="90" t="b">
        <v>1</v>
      </c>
      <c r="AI451" s="90" t="s">
        <v>1442</v>
      </c>
      <c r="AJ451" s="90"/>
      <c r="AK451" s="97" t="s">
        <v>1301</v>
      </c>
      <c r="AL451" s="90" t="b">
        <v>0</v>
      </c>
      <c r="AM451" s="90">
        <v>10</v>
      </c>
      <c r="AN451" s="97" t="s">
        <v>1171</v>
      </c>
      <c r="AO451" s="97" t="s">
        <v>1452</v>
      </c>
      <c r="AP451" s="90" t="b">
        <v>0</v>
      </c>
      <c r="AQ451" s="97" t="s">
        <v>1171</v>
      </c>
      <c r="AR451" s="90" t="s">
        <v>187</v>
      </c>
      <c r="AS451" s="90">
        <v>0</v>
      </c>
      <c r="AT451" s="90">
        <v>0</v>
      </c>
      <c r="AU451" s="90"/>
      <c r="AV451" s="90"/>
      <c r="AW451" s="90"/>
      <c r="AX451" s="90"/>
      <c r="AY451" s="90"/>
      <c r="AZ451" s="90"/>
      <c r="BA451" s="90"/>
      <c r="BB451" s="90"/>
      <c r="BC451">
        <v>1</v>
      </c>
      <c r="BD451" s="89" t="str">
        <f>REPLACE(INDEX(GroupVertices[Group],MATCH(Edges[[#This Row],[Vertex 1]],GroupVertices[Vertex],0)),1,1,"")</f>
        <v>1</v>
      </c>
      <c r="BE451" s="89" t="str">
        <f>REPLACE(INDEX(GroupVertices[Group],MATCH(Edges[[#This Row],[Vertex 2]],GroupVertices[Vertex],0)),1,1,"")</f>
        <v>1</v>
      </c>
      <c r="BF451" s="49">
        <v>0</v>
      </c>
      <c r="BG451" s="50">
        <v>0</v>
      </c>
      <c r="BH451" s="49">
        <v>0</v>
      </c>
      <c r="BI451" s="50">
        <v>0</v>
      </c>
      <c r="BJ451" s="49">
        <v>0</v>
      </c>
      <c r="BK451" s="50">
        <v>0</v>
      </c>
      <c r="BL451" s="49">
        <v>16</v>
      </c>
      <c r="BM451" s="50">
        <v>100</v>
      </c>
      <c r="BN451" s="49">
        <v>16</v>
      </c>
    </row>
    <row r="452" spans="1:66" ht="15">
      <c r="A452" s="65" t="s">
        <v>357</v>
      </c>
      <c r="B452" s="65" t="s">
        <v>374</v>
      </c>
      <c r="C452" s="66" t="s">
        <v>5817</v>
      </c>
      <c r="D452" s="67">
        <v>1</v>
      </c>
      <c r="E452" s="68" t="s">
        <v>132</v>
      </c>
      <c r="F452" s="69">
        <v>32</v>
      </c>
      <c r="G452" s="66" t="s">
        <v>51</v>
      </c>
      <c r="H452" s="70"/>
      <c r="I452" s="71"/>
      <c r="J452" s="71"/>
      <c r="K452" s="35" t="s">
        <v>65</v>
      </c>
      <c r="L452" s="79">
        <v>452</v>
      </c>
      <c r="M452" s="79"/>
      <c r="N452" s="73"/>
      <c r="O452" s="90" t="s">
        <v>522</v>
      </c>
      <c r="P452" s="93">
        <v>44533.25019675926</v>
      </c>
      <c r="Q452" s="90" t="s">
        <v>656</v>
      </c>
      <c r="R452" s="96" t="str">
        <f>HYPERLINK("https://twitter.com/millatiuni/status/1466446380843606025")</f>
        <v>https://twitter.com/millatiuni/status/1466446380843606025</v>
      </c>
      <c r="S452" s="90" t="s">
        <v>693</v>
      </c>
      <c r="T452" s="90"/>
      <c r="U452" s="90"/>
      <c r="V452" s="96" t="str">
        <f>HYPERLINK("https://pbs.twimg.com/profile_images/1165647981338607616/GdBQJ6S0_normal.jpg")</f>
        <v>https://pbs.twimg.com/profile_images/1165647981338607616/GdBQJ6S0_normal.jpg</v>
      </c>
      <c r="W452" s="93">
        <v>44533.25019675926</v>
      </c>
      <c r="X452" s="100">
        <v>44533</v>
      </c>
      <c r="Y452" s="97" t="s">
        <v>921</v>
      </c>
      <c r="Z452" s="96" t="str">
        <f>HYPERLINK("https://twitter.com/jt36292090/status/1466648462372524036")</f>
        <v>https://twitter.com/jt36292090/status/1466648462372524036</v>
      </c>
      <c r="AA452" s="90"/>
      <c r="AB452" s="90"/>
      <c r="AC452" s="97" t="s">
        <v>1173</v>
      </c>
      <c r="AD452" s="90"/>
      <c r="AE452" s="90" t="b">
        <v>0</v>
      </c>
      <c r="AF452" s="90">
        <v>0</v>
      </c>
      <c r="AG452" s="97" t="s">
        <v>1338</v>
      </c>
      <c r="AH452" s="90" t="b">
        <v>1</v>
      </c>
      <c r="AI452" s="90" t="s">
        <v>1442</v>
      </c>
      <c r="AJ452" s="90"/>
      <c r="AK452" s="97" t="s">
        <v>1448</v>
      </c>
      <c r="AL452" s="90" t="b">
        <v>0</v>
      </c>
      <c r="AM452" s="90">
        <v>29</v>
      </c>
      <c r="AN452" s="97" t="s">
        <v>1218</v>
      </c>
      <c r="AO452" s="97" t="s">
        <v>1452</v>
      </c>
      <c r="AP452" s="90" t="b">
        <v>0</v>
      </c>
      <c r="AQ452" s="97" t="s">
        <v>1218</v>
      </c>
      <c r="AR452" s="90" t="s">
        <v>187</v>
      </c>
      <c r="AS452" s="90">
        <v>0</v>
      </c>
      <c r="AT452" s="90">
        <v>0</v>
      </c>
      <c r="AU452" s="90"/>
      <c r="AV452" s="90"/>
      <c r="AW452" s="90"/>
      <c r="AX452" s="90"/>
      <c r="AY452" s="90"/>
      <c r="AZ452" s="90"/>
      <c r="BA452" s="90"/>
      <c r="BB452" s="90"/>
      <c r="BC452">
        <v>1</v>
      </c>
      <c r="BD452" s="89" t="str">
        <f>REPLACE(INDEX(GroupVertices[Group],MATCH(Edges[[#This Row],[Vertex 1]],GroupVertices[Vertex],0)),1,1,"")</f>
        <v>1</v>
      </c>
      <c r="BE452" s="89" t="str">
        <f>REPLACE(INDEX(GroupVertices[Group],MATCH(Edges[[#This Row],[Vertex 2]],GroupVertices[Vertex],0)),1,1,"")</f>
        <v>1</v>
      </c>
      <c r="BF452" s="49">
        <v>0</v>
      </c>
      <c r="BG452" s="50">
        <v>0</v>
      </c>
      <c r="BH452" s="49">
        <v>0</v>
      </c>
      <c r="BI452" s="50">
        <v>0</v>
      </c>
      <c r="BJ452" s="49">
        <v>0</v>
      </c>
      <c r="BK452" s="50">
        <v>0</v>
      </c>
      <c r="BL452" s="49">
        <v>6</v>
      </c>
      <c r="BM452" s="50">
        <v>100</v>
      </c>
      <c r="BN452" s="49">
        <v>6</v>
      </c>
    </row>
    <row r="453" spans="1:66" ht="15">
      <c r="A453" s="65" t="s">
        <v>358</v>
      </c>
      <c r="B453" s="65" t="s">
        <v>374</v>
      </c>
      <c r="C453" s="66" t="s">
        <v>5817</v>
      </c>
      <c r="D453" s="67">
        <v>1</v>
      </c>
      <c r="E453" s="68" t="s">
        <v>132</v>
      </c>
      <c r="F453" s="69">
        <v>32</v>
      </c>
      <c r="G453" s="66" t="s">
        <v>51</v>
      </c>
      <c r="H453" s="70"/>
      <c r="I453" s="71"/>
      <c r="J453" s="71"/>
      <c r="K453" s="35" t="s">
        <v>65</v>
      </c>
      <c r="L453" s="79">
        <v>453</v>
      </c>
      <c r="M453" s="79"/>
      <c r="N453" s="73"/>
      <c r="O453" s="90" t="s">
        <v>522</v>
      </c>
      <c r="P453" s="93">
        <v>44533.268738425926</v>
      </c>
      <c r="Q453" s="90" t="s">
        <v>656</v>
      </c>
      <c r="R453" s="96" t="str">
        <f>HYPERLINK("https://twitter.com/millatiuni/status/1466446380843606025")</f>
        <v>https://twitter.com/millatiuni/status/1466446380843606025</v>
      </c>
      <c r="S453" s="90" t="s">
        <v>693</v>
      </c>
      <c r="T453" s="90"/>
      <c r="U453" s="90"/>
      <c r="V453" s="96" t="str">
        <f>HYPERLINK("https://pbs.twimg.com/profile_images/1402574908593426438/_oiTzzl8_normal.jpg")</f>
        <v>https://pbs.twimg.com/profile_images/1402574908593426438/_oiTzzl8_normal.jpg</v>
      </c>
      <c r="W453" s="93">
        <v>44533.268738425926</v>
      </c>
      <c r="X453" s="100">
        <v>44533</v>
      </c>
      <c r="Y453" s="97" t="s">
        <v>922</v>
      </c>
      <c r="Z453" s="96" t="str">
        <f>HYPERLINK("https://twitter.com/r_riitta/status/1466655184982097920")</f>
        <v>https://twitter.com/r_riitta/status/1466655184982097920</v>
      </c>
      <c r="AA453" s="90"/>
      <c r="AB453" s="90"/>
      <c r="AC453" s="97" t="s">
        <v>1174</v>
      </c>
      <c r="AD453" s="90"/>
      <c r="AE453" s="90" t="b">
        <v>0</v>
      </c>
      <c r="AF453" s="90">
        <v>0</v>
      </c>
      <c r="AG453" s="97" t="s">
        <v>1338</v>
      </c>
      <c r="AH453" s="90" t="b">
        <v>1</v>
      </c>
      <c r="AI453" s="90" t="s">
        <v>1442</v>
      </c>
      <c r="AJ453" s="90"/>
      <c r="AK453" s="97" t="s">
        <v>1448</v>
      </c>
      <c r="AL453" s="90" t="b">
        <v>0</v>
      </c>
      <c r="AM453" s="90">
        <v>29</v>
      </c>
      <c r="AN453" s="97" t="s">
        <v>1218</v>
      </c>
      <c r="AO453" s="97" t="s">
        <v>1453</v>
      </c>
      <c r="AP453" s="90" t="b">
        <v>0</v>
      </c>
      <c r="AQ453" s="97" t="s">
        <v>1218</v>
      </c>
      <c r="AR453" s="90" t="s">
        <v>187</v>
      </c>
      <c r="AS453" s="90">
        <v>0</v>
      </c>
      <c r="AT453" s="90">
        <v>0</v>
      </c>
      <c r="AU453" s="90"/>
      <c r="AV453" s="90"/>
      <c r="AW453" s="90"/>
      <c r="AX453" s="90"/>
      <c r="AY453" s="90"/>
      <c r="AZ453" s="90"/>
      <c r="BA453" s="90"/>
      <c r="BB453" s="90"/>
      <c r="BC453">
        <v>1</v>
      </c>
      <c r="BD453" s="89" t="str">
        <f>REPLACE(INDEX(GroupVertices[Group],MATCH(Edges[[#This Row],[Vertex 1]],GroupVertices[Vertex],0)),1,1,"")</f>
        <v>1</v>
      </c>
      <c r="BE453" s="89" t="str">
        <f>REPLACE(INDEX(GroupVertices[Group],MATCH(Edges[[#This Row],[Vertex 2]],GroupVertices[Vertex],0)),1,1,"")</f>
        <v>1</v>
      </c>
      <c r="BF453" s="49">
        <v>0</v>
      </c>
      <c r="BG453" s="50">
        <v>0</v>
      </c>
      <c r="BH453" s="49">
        <v>0</v>
      </c>
      <c r="BI453" s="50">
        <v>0</v>
      </c>
      <c r="BJ453" s="49">
        <v>0</v>
      </c>
      <c r="BK453" s="50">
        <v>0</v>
      </c>
      <c r="BL453" s="49">
        <v>6</v>
      </c>
      <c r="BM453" s="50">
        <v>100</v>
      </c>
      <c r="BN453" s="49">
        <v>6</v>
      </c>
    </row>
    <row r="454" spans="1:66" ht="15">
      <c r="A454" s="65" t="s">
        <v>359</v>
      </c>
      <c r="B454" s="65" t="s">
        <v>399</v>
      </c>
      <c r="C454" s="66" t="s">
        <v>5818</v>
      </c>
      <c r="D454" s="67">
        <v>1</v>
      </c>
      <c r="E454" s="68" t="s">
        <v>132</v>
      </c>
      <c r="F454" s="69">
        <v>32</v>
      </c>
      <c r="G454" s="66" t="s">
        <v>51</v>
      </c>
      <c r="H454" s="70"/>
      <c r="I454" s="71"/>
      <c r="J454" s="71"/>
      <c r="K454" s="35" t="s">
        <v>65</v>
      </c>
      <c r="L454" s="79">
        <v>454</v>
      </c>
      <c r="M454" s="79"/>
      <c r="N454" s="73"/>
      <c r="O454" s="90" t="s">
        <v>523</v>
      </c>
      <c r="P454" s="93">
        <v>44530.45112268518</v>
      </c>
      <c r="Q454" s="90" t="s">
        <v>665</v>
      </c>
      <c r="R454" s="90"/>
      <c r="S454" s="90"/>
      <c r="T454" s="90"/>
      <c r="U454" s="90"/>
      <c r="V454" s="96" t="str">
        <f>HYPERLINK("https://pbs.twimg.com/profile_images/1443890149096628228/oPSCfT7g_normal.jpg")</f>
        <v>https://pbs.twimg.com/profile_images/1443890149096628228/oPSCfT7g_normal.jpg</v>
      </c>
      <c r="W454" s="93">
        <v>44530.45112268518</v>
      </c>
      <c r="X454" s="100">
        <v>44530</v>
      </c>
      <c r="Y454" s="97" t="s">
        <v>923</v>
      </c>
      <c r="Z454" s="96" t="str">
        <f>HYPERLINK("https://twitter.com/lestercdiamond/status/1465634112178475012")</f>
        <v>https://twitter.com/lestercdiamond/status/1465634112178475012</v>
      </c>
      <c r="AA454" s="90"/>
      <c r="AB454" s="90"/>
      <c r="AC454" s="97" t="s">
        <v>1175</v>
      </c>
      <c r="AD454" s="97" t="s">
        <v>1316</v>
      </c>
      <c r="AE454" s="90" t="b">
        <v>0</v>
      </c>
      <c r="AF454" s="90">
        <v>1</v>
      </c>
      <c r="AG454" s="97" t="s">
        <v>1349</v>
      </c>
      <c r="AH454" s="90" t="b">
        <v>0</v>
      </c>
      <c r="AI454" s="90" t="s">
        <v>1442</v>
      </c>
      <c r="AJ454" s="90"/>
      <c r="AK454" s="97" t="s">
        <v>1338</v>
      </c>
      <c r="AL454" s="90" t="b">
        <v>0</v>
      </c>
      <c r="AM454" s="90">
        <v>0</v>
      </c>
      <c r="AN454" s="97" t="s">
        <v>1338</v>
      </c>
      <c r="AO454" s="97" t="s">
        <v>1450</v>
      </c>
      <c r="AP454" s="90" t="b">
        <v>0</v>
      </c>
      <c r="AQ454" s="97" t="s">
        <v>1316</v>
      </c>
      <c r="AR454" s="90" t="s">
        <v>187</v>
      </c>
      <c r="AS454" s="90">
        <v>0</v>
      </c>
      <c r="AT454" s="90">
        <v>0</v>
      </c>
      <c r="AU454" s="90"/>
      <c r="AV454" s="90"/>
      <c r="AW454" s="90"/>
      <c r="AX454" s="90"/>
      <c r="AY454" s="90"/>
      <c r="AZ454" s="90"/>
      <c r="BA454" s="90"/>
      <c r="BB454" s="90"/>
      <c r="BC454">
        <v>2</v>
      </c>
      <c r="BD454" s="89" t="str">
        <f>REPLACE(INDEX(GroupVertices[Group],MATCH(Edges[[#This Row],[Vertex 1]],GroupVertices[Vertex],0)),1,1,"")</f>
        <v>9</v>
      </c>
      <c r="BE454" s="89" t="str">
        <f>REPLACE(INDEX(GroupVertices[Group],MATCH(Edges[[#This Row],[Vertex 2]],GroupVertices[Vertex],0)),1,1,"")</f>
        <v>9</v>
      </c>
      <c r="BF454" s="49">
        <v>0</v>
      </c>
      <c r="BG454" s="50">
        <v>0</v>
      </c>
      <c r="BH454" s="49">
        <v>0</v>
      </c>
      <c r="BI454" s="50">
        <v>0</v>
      </c>
      <c r="BJ454" s="49">
        <v>0</v>
      </c>
      <c r="BK454" s="50">
        <v>0</v>
      </c>
      <c r="BL454" s="49">
        <v>25</v>
      </c>
      <c r="BM454" s="50">
        <v>100</v>
      </c>
      <c r="BN454" s="49">
        <v>25</v>
      </c>
    </row>
    <row r="455" spans="1:66" ht="15">
      <c r="A455" s="65" t="s">
        <v>359</v>
      </c>
      <c r="B455" s="65" t="s">
        <v>399</v>
      </c>
      <c r="C455" s="66" t="s">
        <v>5818</v>
      </c>
      <c r="D455" s="67">
        <v>1</v>
      </c>
      <c r="E455" s="68" t="s">
        <v>132</v>
      </c>
      <c r="F455" s="69">
        <v>32</v>
      </c>
      <c r="G455" s="66" t="s">
        <v>51</v>
      </c>
      <c r="H455" s="70"/>
      <c r="I455" s="71"/>
      <c r="J455" s="71"/>
      <c r="K455" s="35" t="s">
        <v>65</v>
      </c>
      <c r="L455" s="79">
        <v>455</v>
      </c>
      <c r="M455" s="79"/>
      <c r="N455" s="73"/>
      <c r="O455" s="90" t="s">
        <v>523</v>
      </c>
      <c r="P455" s="93">
        <v>44533.31972222222</v>
      </c>
      <c r="Q455" s="90" t="s">
        <v>666</v>
      </c>
      <c r="R455" s="90"/>
      <c r="S455" s="90"/>
      <c r="T455" s="90"/>
      <c r="U455" s="96" t="str">
        <f>HYPERLINK("https://pbs.twimg.com/media/FFqr4OyWQAEHaru.jpg")</f>
        <v>https://pbs.twimg.com/media/FFqr4OyWQAEHaru.jpg</v>
      </c>
      <c r="V455" s="96" t="str">
        <f>HYPERLINK("https://pbs.twimg.com/media/FFqr4OyWQAEHaru.jpg")</f>
        <v>https://pbs.twimg.com/media/FFqr4OyWQAEHaru.jpg</v>
      </c>
      <c r="W455" s="93">
        <v>44533.31972222222</v>
      </c>
      <c r="X455" s="100">
        <v>44533</v>
      </c>
      <c r="Y455" s="97" t="s">
        <v>924</v>
      </c>
      <c r="Z455" s="96" t="str">
        <f>HYPERLINK("https://twitter.com/lestercdiamond/status/1466673661222469636")</f>
        <v>https://twitter.com/lestercdiamond/status/1466673661222469636</v>
      </c>
      <c r="AA455" s="90"/>
      <c r="AB455" s="90"/>
      <c r="AC455" s="97" t="s">
        <v>1176</v>
      </c>
      <c r="AD455" s="97" t="s">
        <v>1317</v>
      </c>
      <c r="AE455" s="90" t="b">
        <v>0</v>
      </c>
      <c r="AF455" s="90">
        <v>0</v>
      </c>
      <c r="AG455" s="97" t="s">
        <v>1349</v>
      </c>
      <c r="AH455" s="90" t="b">
        <v>0</v>
      </c>
      <c r="AI455" s="90" t="s">
        <v>1442</v>
      </c>
      <c r="AJ455" s="90"/>
      <c r="AK455" s="97" t="s">
        <v>1338</v>
      </c>
      <c r="AL455" s="90" t="b">
        <v>0</v>
      </c>
      <c r="AM455" s="90">
        <v>0</v>
      </c>
      <c r="AN455" s="97" t="s">
        <v>1338</v>
      </c>
      <c r="AO455" s="97" t="s">
        <v>1450</v>
      </c>
      <c r="AP455" s="90" t="b">
        <v>0</v>
      </c>
      <c r="AQ455" s="97" t="s">
        <v>1317</v>
      </c>
      <c r="AR455" s="90" t="s">
        <v>187</v>
      </c>
      <c r="AS455" s="90">
        <v>0</v>
      </c>
      <c r="AT455" s="90">
        <v>0</v>
      </c>
      <c r="AU455" s="90"/>
      <c r="AV455" s="90"/>
      <c r="AW455" s="90"/>
      <c r="AX455" s="90"/>
      <c r="AY455" s="90"/>
      <c r="AZ455" s="90"/>
      <c r="BA455" s="90"/>
      <c r="BB455" s="90"/>
      <c r="BC455">
        <v>2</v>
      </c>
      <c r="BD455" s="89" t="str">
        <f>REPLACE(INDEX(GroupVertices[Group],MATCH(Edges[[#This Row],[Vertex 1]],GroupVertices[Vertex],0)),1,1,"")</f>
        <v>9</v>
      </c>
      <c r="BE455" s="89" t="str">
        <f>REPLACE(INDEX(GroupVertices[Group],MATCH(Edges[[#This Row],[Vertex 2]],GroupVertices[Vertex],0)),1,1,"")</f>
        <v>9</v>
      </c>
      <c r="BF455" s="49">
        <v>0</v>
      </c>
      <c r="BG455" s="50">
        <v>0</v>
      </c>
      <c r="BH455" s="49">
        <v>0</v>
      </c>
      <c r="BI455" s="50">
        <v>0</v>
      </c>
      <c r="BJ455" s="49">
        <v>0</v>
      </c>
      <c r="BK455" s="50">
        <v>0</v>
      </c>
      <c r="BL455" s="49">
        <v>24</v>
      </c>
      <c r="BM455" s="50">
        <v>100</v>
      </c>
      <c r="BN455" s="49">
        <v>24</v>
      </c>
    </row>
    <row r="456" spans="1:66" ht="15">
      <c r="A456" s="65" t="s">
        <v>360</v>
      </c>
      <c r="B456" s="65" t="s">
        <v>502</v>
      </c>
      <c r="C456" s="66" t="s">
        <v>5817</v>
      </c>
      <c r="D456" s="67">
        <v>1</v>
      </c>
      <c r="E456" s="68" t="s">
        <v>132</v>
      </c>
      <c r="F456" s="69">
        <v>32</v>
      </c>
      <c r="G456" s="66" t="s">
        <v>51</v>
      </c>
      <c r="H456" s="70"/>
      <c r="I456" s="71"/>
      <c r="J456" s="71"/>
      <c r="K456" s="35" t="s">
        <v>65</v>
      </c>
      <c r="L456" s="79">
        <v>456</v>
      </c>
      <c r="M456" s="79"/>
      <c r="N456" s="73"/>
      <c r="O456" s="90" t="s">
        <v>524</v>
      </c>
      <c r="P456" s="93">
        <v>44533.42145833333</v>
      </c>
      <c r="Q456" s="90" t="s">
        <v>667</v>
      </c>
      <c r="R456" s="90"/>
      <c r="S456" s="90"/>
      <c r="T456" s="90"/>
      <c r="U456" s="90"/>
      <c r="V456" s="96" t="str">
        <f>HYPERLINK("https://pbs.twimg.com/profile_images/1253589421380812800/iNNEEsi2_normal.jpg")</f>
        <v>https://pbs.twimg.com/profile_images/1253589421380812800/iNNEEsi2_normal.jpg</v>
      </c>
      <c r="W456" s="93">
        <v>44533.42145833333</v>
      </c>
      <c r="X456" s="100">
        <v>44533</v>
      </c>
      <c r="Y456" s="97" t="s">
        <v>925</v>
      </c>
      <c r="Z456" s="96" t="str">
        <f>HYPERLINK("https://twitter.com/clpssdnl/status/1466710527632101376")</f>
        <v>https://twitter.com/clpssdnl/status/1466710527632101376</v>
      </c>
      <c r="AA456" s="90"/>
      <c r="AB456" s="90"/>
      <c r="AC456" s="97" t="s">
        <v>1177</v>
      </c>
      <c r="AD456" s="97" t="s">
        <v>1318</v>
      </c>
      <c r="AE456" s="90" t="b">
        <v>0</v>
      </c>
      <c r="AF456" s="90">
        <v>0</v>
      </c>
      <c r="AG456" s="97" t="s">
        <v>1340</v>
      </c>
      <c r="AH456" s="90" t="b">
        <v>0</v>
      </c>
      <c r="AI456" s="90" t="s">
        <v>1442</v>
      </c>
      <c r="AJ456" s="90"/>
      <c r="AK456" s="97" t="s">
        <v>1338</v>
      </c>
      <c r="AL456" s="90" t="b">
        <v>0</v>
      </c>
      <c r="AM456" s="90">
        <v>0</v>
      </c>
      <c r="AN456" s="97" t="s">
        <v>1338</v>
      </c>
      <c r="AO456" s="97" t="s">
        <v>1451</v>
      </c>
      <c r="AP456" s="90" t="b">
        <v>0</v>
      </c>
      <c r="AQ456" s="97" t="s">
        <v>1318</v>
      </c>
      <c r="AR456" s="90" t="s">
        <v>187</v>
      </c>
      <c r="AS456" s="90">
        <v>0</v>
      </c>
      <c r="AT456" s="90">
        <v>0</v>
      </c>
      <c r="AU456" s="90"/>
      <c r="AV456" s="90"/>
      <c r="AW456" s="90"/>
      <c r="AX456" s="90"/>
      <c r="AY456" s="90"/>
      <c r="AZ456" s="90"/>
      <c r="BA456" s="90"/>
      <c r="BB456" s="90"/>
      <c r="BC456">
        <v>1</v>
      </c>
      <c r="BD456" s="89" t="str">
        <f>REPLACE(INDEX(GroupVertices[Group],MATCH(Edges[[#This Row],[Vertex 1]],GroupVertices[Vertex],0)),1,1,"")</f>
        <v>5</v>
      </c>
      <c r="BE456" s="89" t="str">
        <f>REPLACE(INDEX(GroupVertices[Group],MATCH(Edges[[#This Row],[Vertex 2]],GroupVertices[Vertex],0)),1,1,"")</f>
        <v>5</v>
      </c>
      <c r="BF456" s="49">
        <v>1</v>
      </c>
      <c r="BG456" s="50">
        <v>3.4482758620689653</v>
      </c>
      <c r="BH456" s="49">
        <v>0</v>
      </c>
      <c r="BI456" s="50">
        <v>0</v>
      </c>
      <c r="BJ456" s="49">
        <v>0</v>
      </c>
      <c r="BK456" s="50">
        <v>0</v>
      </c>
      <c r="BL456" s="49">
        <v>28</v>
      </c>
      <c r="BM456" s="50">
        <v>96.55172413793103</v>
      </c>
      <c r="BN456" s="49">
        <v>29</v>
      </c>
    </row>
    <row r="457" spans="1:66" ht="15">
      <c r="A457" s="65" t="s">
        <v>360</v>
      </c>
      <c r="B457" s="65" t="s">
        <v>349</v>
      </c>
      <c r="C457" s="66" t="s">
        <v>5817</v>
      </c>
      <c r="D457" s="67">
        <v>1</v>
      </c>
      <c r="E457" s="68" t="s">
        <v>132</v>
      </c>
      <c r="F457" s="69">
        <v>32</v>
      </c>
      <c r="G457" s="66" t="s">
        <v>51</v>
      </c>
      <c r="H457" s="70"/>
      <c r="I457" s="71"/>
      <c r="J457" s="71"/>
      <c r="K457" s="35" t="s">
        <v>65</v>
      </c>
      <c r="L457" s="79">
        <v>457</v>
      </c>
      <c r="M457" s="79"/>
      <c r="N457" s="73"/>
      <c r="O457" s="90" t="s">
        <v>523</v>
      </c>
      <c r="P457" s="93">
        <v>44533.42145833333</v>
      </c>
      <c r="Q457" s="90" t="s">
        <v>667</v>
      </c>
      <c r="R457" s="90"/>
      <c r="S457" s="90"/>
      <c r="T457" s="90"/>
      <c r="U457" s="90"/>
      <c r="V457" s="96" t="str">
        <f>HYPERLINK("https://pbs.twimg.com/profile_images/1253589421380812800/iNNEEsi2_normal.jpg")</f>
        <v>https://pbs.twimg.com/profile_images/1253589421380812800/iNNEEsi2_normal.jpg</v>
      </c>
      <c r="W457" s="93">
        <v>44533.42145833333</v>
      </c>
      <c r="X457" s="100">
        <v>44533</v>
      </c>
      <c r="Y457" s="97" t="s">
        <v>925</v>
      </c>
      <c r="Z457" s="96" t="str">
        <f>HYPERLINK("https://twitter.com/clpssdnl/status/1466710527632101376")</f>
        <v>https://twitter.com/clpssdnl/status/1466710527632101376</v>
      </c>
      <c r="AA457" s="90"/>
      <c r="AB457" s="90"/>
      <c r="AC457" s="97" t="s">
        <v>1177</v>
      </c>
      <c r="AD457" s="97" t="s">
        <v>1318</v>
      </c>
      <c r="AE457" s="90" t="b">
        <v>0</v>
      </c>
      <c r="AF457" s="90">
        <v>0</v>
      </c>
      <c r="AG457" s="97" t="s">
        <v>1340</v>
      </c>
      <c r="AH457" s="90" t="b">
        <v>0</v>
      </c>
      <c r="AI457" s="90" t="s">
        <v>1442</v>
      </c>
      <c r="AJ457" s="90"/>
      <c r="AK457" s="97" t="s">
        <v>1338</v>
      </c>
      <c r="AL457" s="90" t="b">
        <v>0</v>
      </c>
      <c r="AM457" s="90">
        <v>0</v>
      </c>
      <c r="AN457" s="97" t="s">
        <v>1338</v>
      </c>
      <c r="AO457" s="97" t="s">
        <v>1451</v>
      </c>
      <c r="AP457" s="90" t="b">
        <v>0</v>
      </c>
      <c r="AQ457" s="97" t="s">
        <v>1318</v>
      </c>
      <c r="AR457" s="90" t="s">
        <v>187</v>
      </c>
      <c r="AS457" s="90">
        <v>0</v>
      </c>
      <c r="AT457" s="90">
        <v>0</v>
      </c>
      <c r="AU457" s="90"/>
      <c r="AV457" s="90"/>
      <c r="AW457" s="90"/>
      <c r="AX457" s="90"/>
      <c r="AY457" s="90"/>
      <c r="AZ457" s="90"/>
      <c r="BA457" s="90"/>
      <c r="BB457" s="90"/>
      <c r="BC457">
        <v>1</v>
      </c>
      <c r="BD457" s="89" t="str">
        <f>REPLACE(INDEX(GroupVertices[Group],MATCH(Edges[[#This Row],[Vertex 1]],GroupVertices[Vertex],0)),1,1,"")</f>
        <v>5</v>
      </c>
      <c r="BE457" s="89" t="str">
        <f>REPLACE(INDEX(GroupVertices[Group],MATCH(Edges[[#This Row],[Vertex 2]],GroupVertices[Vertex],0)),1,1,"")</f>
        <v>5</v>
      </c>
      <c r="BF457" s="49"/>
      <c r="BG457" s="50"/>
      <c r="BH457" s="49"/>
      <c r="BI457" s="50"/>
      <c r="BJ457" s="49"/>
      <c r="BK457" s="50"/>
      <c r="BL457" s="49"/>
      <c r="BM457" s="50"/>
      <c r="BN457" s="49"/>
    </row>
    <row r="458" spans="1:66" ht="15">
      <c r="A458" s="65" t="s">
        <v>349</v>
      </c>
      <c r="B458" s="65" t="s">
        <v>432</v>
      </c>
      <c r="C458" s="66" t="s">
        <v>5818</v>
      </c>
      <c r="D458" s="67">
        <v>1</v>
      </c>
      <c r="E458" s="68" t="s">
        <v>132</v>
      </c>
      <c r="F458" s="69">
        <v>32</v>
      </c>
      <c r="G458" s="66" t="s">
        <v>51</v>
      </c>
      <c r="H458" s="70"/>
      <c r="I458" s="71"/>
      <c r="J458" s="71"/>
      <c r="K458" s="35" t="s">
        <v>65</v>
      </c>
      <c r="L458" s="79">
        <v>458</v>
      </c>
      <c r="M458" s="79"/>
      <c r="N458" s="73"/>
      <c r="O458" s="90" t="s">
        <v>523</v>
      </c>
      <c r="P458" s="93">
        <v>44530.71207175926</v>
      </c>
      <c r="Q458" s="90" t="s">
        <v>577</v>
      </c>
      <c r="R458" s="90"/>
      <c r="S458" s="90"/>
      <c r="T458" s="97" t="s">
        <v>226</v>
      </c>
      <c r="U458" s="90"/>
      <c r="V458" s="96" t="str">
        <f>HYPERLINK("https://pbs.twimg.com/profile_images/1393874518343667713/26qXQ9--_normal.jpg")</f>
        <v>https://pbs.twimg.com/profile_images/1393874518343667713/26qXQ9--_normal.jpg</v>
      </c>
      <c r="W458" s="93">
        <v>44530.71207175926</v>
      </c>
      <c r="X458" s="100">
        <v>44530</v>
      </c>
      <c r="Y458" s="97" t="s">
        <v>926</v>
      </c>
      <c r="Z458" s="96" t="str">
        <f>HYPERLINK("https://twitter.com/leanvaltio/status/1465728678848040963")</f>
        <v>https://twitter.com/leanvaltio/status/1465728678848040963</v>
      </c>
      <c r="AA458" s="90"/>
      <c r="AB458" s="90"/>
      <c r="AC458" s="97" t="s">
        <v>1178</v>
      </c>
      <c r="AD458" s="97" t="s">
        <v>1268</v>
      </c>
      <c r="AE458" s="90" t="b">
        <v>0</v>
      </c>
      <c r="AF458" s="90">
        <v>121</v>
      </c>
      <c r="AG458" s="97" t="s">
        <v>1384</v>
      </c>
      <c r="AH458" s="90" t="b">
        <v>0</v>
      </c>
      <c r="AI458" s="90" t="s">
        <v>1442</v>
      </c>
      <c r="AJ458" s="90"/>
      <c r="AK458" s="97" t="s">
        <v>1338</v>
      </c>
      <c r="AL458" s="90" t="b">
        <v>0</v>
      </c>
      <c r="AM458" s="90">
        <v>14</v>
      </c>
      <c r="AN458" s="97" t="s">
        <v>1338</v>
      </c>
      <c r="AO458" s="97" t="s">
        <v>1450</v>
      </c>
      <c r="AP458" s="90" t="b">
        <v>0</v>
      </c>
      <c r="AQ458" s="97" t="s">
        <v>1268</v>
      </c>
      <c r="AR458" s="90" t="s">
        <v>187</v>
      </c>
      <c r="AS458" s="90">
        <v>0</v>
      </c>
      <c r="AT458" s="90">
        <v>0</v>
      </c>
      <c r="AU458" s="90"/>
      <c r="AV458" s="90"/>
      <c r="AW458" s="90"/>
      <c r="AX458" s="90"/>
      <c r="AY458" s="90"/>
      <c r="AZ458" s="90"/>
      <c r="BA458" s="90"/>
      <c r="BB458" s="90"/>
      <c r="BC458">
        <v>2</v>
      </c>
      <c r="BD458" s="89" t="str">
        <f>REPLACE(INDEX(GroupVertices[Group],MATCH(Edges[[#This Row],[Vertex 1]],GroupVertices[Vertex],0)),1,1,"")</f>
        <v>5</v>
      </c>
      <c r="BE458" s="89" t="str">
        <f>REPLACE(INDEX(GroupVertices[Group],MATCH(Edges[[#This Row],[Vertex 2]],GroupVertices[Vertex],0)),1,1,"")</f>
        <v>5</v>
      </c>
      <c r="BF458" s="49">
        <v>0</v>
      </c>
      <c r="BG458" s="50">
        <v>0</v>
      </c>
      <c r="BH458" s="49">
        <v>0</v>
      </c>
      <c r="BI458" s="50">
        <v>0</v>
      </c>
      <c r="BJ458" s="49">
        <v>0</v>
      </c>
      <c r="BK458" s="50">
        <v>0</v>
      </c>
      <c r="BL458" s="49">
        <v>29</v>
      </c>
      <c r="BM458" s="50">
        <v>100</v>
      </c>
      <c r="BN458" s="49">
        <v>29</v>
      </c>
    </row>
    <row r="459" spans="1:66" ht="15">
      <c r="A459" s="65" t="s">
        <v>349</v>
      </c>
      <c r="B459" s="65" t="s">
        <v>432</v>
      </c>
      <c r="C459" s="66" t="s">
        <v>5818</v>
      </c>
      <c r="D459" s="67">
        <v>1</v>
      </c>
      <c r="E459" s="68" t="s">
        <v>132</v>
      </c>
      <c r="F459" s="69">
        <v>32</v>
      </c>
      <c r="G459" s="66" t="s">
        <v>51</v>
      </c>
      <c r="H459" s="70"/>
      <c r="I459" s="71"/>
      <c r="J459" s="71"/>
      <c r="K459" s="35" t="s">
        <v>65</v>
      </c>
      <c r="L459" s="79">
        <v>459</v>
      </c>
      <c r="M459" s="79"/>
      <c r="N459" s="73"/>
      <c r="O459" s="90" t="s">
        <v>523</v>
      </c>
      <c r="P459" s="93">
        <v>44530.712164351855</v>
      </c>
      <c r="Q459" s="90" t="s">
        <v>577</v>
      </c>
      <c r="R459" s="90"/>
      <c r="S459" s="90"/>
      <c r="T459" s="97" t="s">
        <v>226</v>
      </c>
      <c r="U459" s="90"/>
      <c r="V459" s="96" t="str">
        <f>HYPERLINK("https://pbs.twimg.com/profile_images/1393874518343667713/26qXQ9--_normal.jpg")</f>
        <v>https://pbs.twimg.com/profile_images/1393874518343667713/26qXQ9--_normal.jpg</v>
      </c>
      <c r="W459" s="93">
        <v>44530.712164351855</v>
      </c>
      <c r="X459" s="100">
        <v>44530</v>
      </c>
      <c r="Y459" s="97" t="s">
        <v>927</v>
      </c>
      <c r="Z459" s="96" t="str">
        <f>HYPERLINK("https://twitter.com/leanvaltio/status/1465728712364679169")</f>
        <v>https://twitter.com/leanvaltio/status/1465728712364679169</v>
      </c>
      <c r="AA459" s="90"/>
      <c r="AB459" s="90"/>
      <c r="AC459" s="97" t="s">
        <v>1179</v>
      </c>
      <c r="AD459" s="90"/>
      <c r="AE459" s="90" t="b">
        <v>0</v>
      </c>
      <c r="AF459" s="90">
        <v>0</v>
      </c>
      <c r="AG459" s="97" t="s">
        <v>1338</v>
      </c>
      <c r="AH459" s="90" t="b">
        <v>0</v>
      </c>
      <c r="AI459" s="90" t="s">
        <v>1442</v>
      </c>
      <c r="AJ459" s="90"/>
      <c r="AK459" s="97" t="s">
        <v>1338</v>
      </c>
      <c r="AL459" s="90" t="b">
        <v>0</v>
      </c>
      <c r="AM459" s="90">
        <v>14</v>
      </c>
      <c r="AN459" s="97" t="s">
        <v>1178</v>
      </c>
      <c r="AO459" s="97" t="s">
        <v>1450</v>
      </c>
      <c r="AP459" s="90" t="b">
        <v>0</v>
      </c>
      <c r="AQ459" s="97" t="s">
        <v>1178</v>
      </c>
      <c r="AR459" s="90" t="s">
        <v>187</v>
      </c>
      <c r="AS459" s="90">
        <v>0</v>
      </c>
      <c r="AT459" s="90">
        <v>0</v>
      </c>
      <c r="AU459" s="90"/>
      <c r="AV459" s="90"/>
      <c r="AW459" s="90"/>
      <c r="AX459" s="90"/>
      <c r="AY459" s="90"/>
      <c r="AZ459" s="90"/>
      <c r="BA459" s="90"/>
      <c r="BB459" s="90"/>
      <c r="BC459">
        <v>2</v>
      </c>
      <c r="BD459" s="89" t="str">
        <f>REPLACE(INDEX(GroupVertices[Group],MATCH(Edges[[#This Row],[Vertex 1]],GroupVertices[Vertex],0)),1,1,"")</f>
        <v>5</v>
      </c>
      <c r="BE459" s="89" t="str">
        <f>REPLACE(INDEX(GroupVertices[Group],MATCH(Edges[[#This Row],[Vertex 2]],GroupVertices[Vertex],0)),1,1,"")</f>
        <v>5</v>
      </c>
      <c r="BF459" s="49">
        <v>0</v>
      </c>
      <c r="BG459" s="50">
        <v>0</v>
      </c>
      <c r="BH459" s="49">
        <v>0</v>
      </c>
      <c r="BI459" s="50">
        <v>0</v>
      </c>
      <c r="BJ459" s="49">
        <v>0</v>
      </c>
      <c r="BK459" s="50">
        <v>0</v>
      </c>
      <c r="BL459" s="49">
        <v>29</v>
      </c>
      <c r="BM459" s="50">
        <v>100</v>
      </c>
      <c r="BN459" s="49">
        <v>29</v>
      </c>
    </row>
    <row r="460" spans="1:66" ht="15">
      <c r="A460" s="65" t="s">
        <v>361</v>
      </c>
      <c r="B460" s="65" t="s">
        <v>432</v>
      </c>
      <c r="C460" s="66" t="s">
        <v>5817</v>
      </c>
      <c r="D460" s="67">
        <v>1</v>
      </c>
      <c r="E460" s="68" t="s">
        <v>132</v>
      </c>
      <c r="F460" s="69">
        <v>32</v>
      </c>
      <c r="G460" s="66" t="s">
        <v>51</v>
      </c>
      <c r="H460" s="70"/>
      <c r="I460" s="71"/>
      <c r="J460" s="71"/>
      <c r="K460" s="35" t="s">
        <v>65</v>
      </c>
      <c r="L460" s="79">
        <v>460</v>
      </c>
      <c r="M460" s="79"/>
      <c r="N460" s="73"/>
      <c r="O460" s="90" t="s">
        <v>523</v>
      </c>
      <c r="P460" s="93">
        <v>44531.323912037034</v>
      </c>
      <c r="Q460" s="90" t="s">
        <v>577</v>
      </c>
      <c r="R460" s="90"/>
      <c r="S460" s="90"/>
      <c r="T460" s="97" t="s">
        <v>226</v>
      </c>
      <c r="U460" s="90"/>
      <c r="V460" s="96" t="str">
        <f>HYPERLINK("https://abs.twimg.com/sticky/default_profile_images/default_profile_normal.png")</f>
        <v>https://abs.twimg.com/sticky/default_profile_images/default_profile_normal.png</v>
      </c>
      <c r="W460" s="93">
        <v>44531.323912037034</v>
      </c>
      <c r="X460" s="100">
        <v>44531</v>
      </c>
      <c r="Y460" s="97" t="s">
        <v>928</v>
      </c>
      <c r="Z460" s="96" t="str">
        <f>HYPERLINK("https://twitter.com/useyour_____/status/1465950401748996100")</f>
        <v>https://twitter.com/useyour_____/status/1465950401748996100</v>
      </c>
      <c r="AA460" s="90"/>
      <c r="AB460" s="90"/>
      <c r="AC460" s="97" t="s">
        <v>1180</v>
      </c>
      <c r="AD460" s="90"/>
      <c r="AE460" s="90" t="b">
        <v>0</v>
      </c>
      <c r="AF460" s="90">
        <v>0</v>
      </c>
      <c r="AG460" s="97" t="s">
        <v>1338</v>
      </c>
      <c r="AH460" s="90" t="b">
        <v>0</v>
      </c>
      <c r="AI460" s="90" t="s">
        <v>1442</v>
      </c>
      <c r="AJ460" s="90"/>
      <c r="AK460" s="97" t="s">
        <v>1338</v>
      </c>
      <c r="AL460" s="90" t="b">
        <v>0</v>
      </c>
      <c r="AM460" s="90">
        <v>14</v>
      </c>
      <c r="AN460" s="97" t="s">
        <v>1178</v>
      </c>
      <c r="AO460" s="97" t="s">
        <v>1452</v>
      </c>
      <c r="AP460" s="90" t="b">
        <v>0</v>
      </c>
      <c r="AQ460" s="97" t="s">
        <v>1178</v>
      </c>
      <c r="AR460" s="90" t="s">
        <v>187</v>
      </c>
      <c r="AS460" s="90">
        <v>0</v>
      </c>
      <c r="AT460" s="90">
        <v>0</v>
      </c>
      <c r="AU460" s="90"/>
      <c r="AV460" s="90"/>
      <c r="AW460" s="90"/>
      <c r="AX460" s="90"/>
      <c r="AY460" s="90"/>
      <c r="AZ460" s="90"/>
      <c r="BA460" s="90"/>
      <c r="BB460" s="90"/>
      <c r="BC460">
        <v>1</v>
      </c>
      <c r="BD460" s="89" t="str">
        <f>REPLACE(INDEX(GroupVertices[Group],MATCH(Edges[[#This Row],[Vertex 1]],GroupVertices[Vertex],0)),1,1,"")</f>
        <v>5</v>
      </c>
      <c r="BE460" s="89" t="str">
        <f>REPLACE(INDEX(GroupVertices[Group],MATCH(Edges[[#This Row],[Vertex 2]],GroupVertices[Vertex],0)),1,1,"")</f>
        <v>5</v>
      </c>
      <c r="BF460" s="49"/>
      <c r="BG460" s="50"/>
      <c r="BH460" s="49"/>
      <c r="BI460" s="50"/>
      <c r="BJ460" s="49"/>
      <c r="BK460" s="50"/>
      <c r="BL460" s="49"/>
      <c r="BM460" s="50"/>
      <c r="BN460" s="49"/>
    </row>
    <row r="461" spans="1:66" ht="15">
      <c r="A461" s="65" t="s">
        <v>361</v>
      </c>
      <c r="B461" s="65" t="s">
        <v>349</v>
      </c>
      <c r="C461" s="66" t="s">
        <v>5817</v>
      </c>
      <c r="D461" s="67">
        <v>1</v>
      </c>
      <c r="E461" s="68" t="s">
        <v>132</v>
      </c>
      <c r="F461" s="69">
        <v>32</v>
      </c>
      <c r="G461" s="66" t="s">
        <v>51</v>
      </c>
      <c r="H461" s="70"/>
      <c r="I461" s="71"/>
      <c r="J461" s="71"/>
      <c r="K461" s="35" t="s">
        <v>65</v>
      </c>
      <c r="L461" s="79">
        <v>461</v>
      </c>
      <c r="M461" s="79"/>
      <c r="N461" s="73"/>
      <c r="O461" s="90" t="s">
        <v>522</v>
      </c>
      <c r="P461" s="93">
        <v>44531.323912037034</v>
      </c>
      <c r="Q461" s="90" t="s">
        <v>577</v>
      </c>
      <c r="R461" s="90"/>
      <c r="S461" s="90"/>
      <c r="T461" s="97" t="s">
        <v>226</v>
      </c>
      <c r="U461" s="90"/>
      <c r="V461" s="96" t="str">
        <f>HYPERLINK("https://abs.twimg.com/sticky/default_profile_images/default_profile_normal.png")</f>
        <v>https://abs.twimg.com/sticky/default_profile_images/default_profile_normal.png</v>
      </c>
      <c r="W461" s="93">
        <v>44531.323912037034</v>
      </c>
      <c r="X461" s="100">
        <v>44531</v>
      </c>
      <c r="Y461" s="97" t="s">
        <v>928</v>
      </c>
      <c r="Z461" s="96" t="str">
        <f>HYPERLINK("https://twitter.com/useyour_____/status/1465950401748996100")</f>
        <v>https://twitter.com/useyour_____/status/1465950401748996100</v>
      </c>
      <c r="AA461" s="90"/>
      <c r="AB461" s="90"/>
      <c r="AC461" s="97" t="s">
        <v>1180</v>
      </c>
      <c r="AD461" s="90"/>
      <c r="AE461" s="90" t="b">
        <v>0</v>
      </c>
      <c r="AF461" s="90">
        <v>0</v>
      </c>
      <c r="AG461" s="97" t="s">
        <v>1338</v>
      </c>
      <c r="AH461" s="90" t="b">
        <v>0</v>
      </c>
      <c r="AI461" s="90" t="s">
        <v>1442</v>
      </c>
      <c r="AJ461" s="90"/>
      <c r="AK461" s="97" t="s">
        <v>1338</v>
      </c>
      <c r="AL461" s="90" t="b">
        <v>0</v>
      </c>
      <c r="AM461" s="90">
        <v>14</v>
      </c>
      <c r="AN461" s="97" t="s">
        <v>1178</v>
      </c>
      <c r="AO461" s="97" t="s">
        <v>1452</v>
      </c>
      <c r="AP461" s="90" t="b">
        <v>0</v>
      </c>
      <c r="AQ461" s="97" t="s">
        <v>1178</v>
      </c>
      <c r="AR461" s="90" t="s">
        <v>187</v>
      </c>
      <c r="AS461" s="90">
        <v>0</v>
      </c>
      <c r="AT461" s="90">
        <v>0</v>
      </c>
      <c r="AU461" s="90"/>
      <c r="AV461" s="90"/>
      <c r="AW461" s="90"/>
      <c r="AX461" s="90"/>
      <c r="AY461" s="90"/>
      <c r="AZ461" s="90"/>
      <c r="BA461" s="90"/>
      <c r="BB461" s="90"/>
      <c r="BC461">
        <v>1</v>
      </c>
      <c r="BD461" s="89" t="str">
        <f>REPLACE(INDEX(GroupVertices[Group],MATCH(Edges[[#This Row],[Vertex 1]],GroupVertices[Vertex],0)),1,1,"")</f>
        <v>5</v>
      </c>
      <c r="BE461" s="89" t="str">
        <f>REPLACE(INDEX(GroupVertices[Group],MATCH(Edges[[#This Row],[Vertex 2]],GroupVertices[Vertex],0)),1,1,"")</f>
        <v>5</v>
      </c>
      <c r="BF461" s="49">
        <v>0</v>
      </c>
      <c r="BG461" s="50">
        <v>0</v>
      </c>
      <c r="BH461" s="49">
        <v>0</v>
      </c>
      <c r="BI461" s="50">
        <v>0</v>
      </c>
      <c r="BJ461" s="49">
        <v>0</v>
      </c>
      <c r="BK461" s="50">
        <v>0</v>
      </c>
      <c r="BL461" s="49">
        <v>29</v>
      </c>
      <c r="BM461" s="50">
        <v>100</v>
      </c>
      <c r="BN461" s="49">
        <v>29</v>
      </c>
    </row>
    <row r="462" spans="1:66" ht="15">
      <c r="A462" s="65" t="s">
        <v>361</v>
      </c>
      <c r="B462" s="65" t="s">
        <v>430</v>
      </c>
      <c r="C462" s="66" t="s">
        <v>5817</v>
      </c>
      <c r="D462" s="67">
        <v>1</v>
      </c>
      <c r="E462" s="68" t="s">
        <v>132</v>
      </c>
      <c r="F462" s="69">
        <v>32</v>
      </c>
      <c r="G462" s="66" t="s">
        <v>51</v>
      </c>
      <c r="H462" s="70"/>
      <c r="I462" s="71"/>
      <c r="J462" s="71"/>
      <c r="K462" s="35" t="s">
        <v>65</v>
      </c>
      <c r="L462" s="79">
        <v>462</v>
      </c>
      <c r="M462" s="79"/>
      <c r="N462" s="73"/>
      <c r="O462" s="90" t="s">
        <v>525</v>
      </c>
      <c r="P462" s="93">
        <v>44531.411469907405</v>
      </c>
      <c r="Q462" s="90" t="s">
        <v>576</v>
      </c>
      <c r="R462" s="90"/>
      <c r="S462" s="90"/>
      <c r="T462" s="97" t="s">
        <v>712</v>
      </c>
      <c r="U462" s="96" t="str">
        <f>HYPERLINK("https://pbs.twimg.com/media/FFc5qVTVQAkWXE2.jpg")</f>
        <v>https://pbs.twimg.com/media/FFc5qVTVQAkWXE2.jpg</v>
      </c>
      <c r="V462" s="96" t="str">
        <f>HYPERLINK("https://pbs.twimg.com/media/FFc5qVTVQAkWXE2.jpg")</f>
        <v>https://pbs.twimg.com/media/FFc5qVTVQAkWXE2.jpg</v>
      </c>
      <c r="W462" s="93">
        <v>44531.411469907405</v>
      </c>
      <c r="X462" s="100">
        <v>44531</v>
      </c>
      <c r="Y462" s="97" t="s">
        <v>929</v>
      </c>
      <c r="Z462" s="96" t="str">
        <f>HYPERLINK("https://twitter.com/useyour_____/status/1465982131620954115")</f>
        <v>https://twitter.com/useyour_____/status/1465982131620954115</v>
      </c>
      <c r="AA462" s="90"/>
      <c r="AB462" s="90"/>
      <c r="AC462" s="97" t="s">
        <v>1181</v>
      </c>
      <c r="AD462" s="90"/>
      <c r="AE462" s="90" t="b">
        <v>0</v>
      </c>
      <c r="AF462" s="90">
        <v>0</v>
      </c>
      <c r="AG462" s="97" t="s">
        <v>1338</v>
      </c>
      <c r="AH462" s="90" t="b">
        <v>0</v>
      </c>
      <c r="AI462" s="90" t="s">
        <v>1442</v>
      </c>
      <c r="AJ462" s="90"/>
      <c r="AK462" s="97" t="s">
        <v>1338</v>
      </c>
      <c r="AL462" s="90" t="b">
        <v>0</v>
      </c>
      <c r="AM462" s="90">
        <v>18</v>
      </c>
      <c r="AN462" s="97" t="s">
        <v>1196</v>
      </c>
      <c r="AO462" s="97" t="s">
        <v>1452</v>
      </c>
      <c r="AP462" s="90" t="b">
        <v>0</v>
      </c>
      <c r="AQ462" s="97" t="s">
        <v>1196</v>
      </c>
      <c r="AR462" s="90" t="s">
        <v>187</v>
      </c>
      <c r="AS462" s="90">
        <v>0</v>
      </c>
      <c r="AT462" s="90">
        <v>0</v>
      </c>
      <c r="AU462" s="90"/>
      <c r="AV462" s="90"/>
      <c r="AW462" s="90"/>
      <c r="AX462" s="90"/>
      <c r="AY462" s="90"/>
      <c r="AZ462" s="90"/>
      <c r="BA462" s="90"/>
      <c r="BB462" s="90"/>
      <c r="BC462">
        <v>1</v>
      </c>
      <c r="BD462" s="89" t="str">
        <f>REPLACE(INDEX(GroupVertices[Group],MATCH(Edges[[#This Row],[Vertex 1]],GroupVertices[Vertex],0)),1,1,"")</f>
        <v>5</v>
      </c>
      <c r="BE462" s="89" t="str">
        <f>REPLACE(INDEX(GroupVertices[Group],MATCH(Edges[[#This Row],[Vertex 2]],GroupVertices[Vertex],0)),1,1,"")</f>
        <v>3</v>
      </c>
      <c r="BF462" s="49"/>
      <c r="BG462" s="50"/>
      <c r="BH462" s="49"/>
      <c r="BI462" s="50"/>
      <c r="BJ462" s="49"/>
      <c r="BK462" s="50"/>
      <c r="BL462" s="49"/>
      <c r="BM462" s="50"/>
      <c r="BN462" s="49"/>
    </row>
    <row r="463" spans="1:66" ht="15">
      <c r="A463" s="65" t="s">
        <v>361</v>
      </c>
      <c r="B463" s="65" t="s">
        <v>431</v>
      </c>
      <c r="C463" s="66" t="s">
        <v>5817</v>
      </c>
      <c r="D463" s="67">
        <v>1</v>
      </c>
      <c r="E463" s="68" t="s">
        <v>132</v>
      </c>
      <c r="F463" s="69">
        <v>32</v>
      </c>
      <c r="G463" s="66" t="s">
        <v>51</v>
      </c>
      <c r="H463" s="70"/>
      <c r="I463" s="71"/>
      <c r="J463" s="71"/>
      <c r="K463" s="35" t="s">
        <v>65</v>
      </c>
      <c r="L463" s="79">
        <v>463</v>
      </c>
      <c r="M463" s="79"/>
      <c r="N463" s="73"/>
      <c r="O463" s="90" t="s">
        <v>525</v>
      </c>
      <c r="P463" s="93">
        <v>44531.411469907405</v>
      </c>
      <c r="Q463" s="90" t="s">
        <v>576</v>
      </c>
      <c r="R463" s="90"/>
      <c r="S463" s="90"/>
      <c r="T463" s="97" t="s">
        <v>712</v>
      </c>
      <c r="U463" s="96" t="str">
        <f>HYPERLINK("https://pbs.twimg.com/media/FFc5qVTVQAkWXE2.jpg")</f>
        <v>https://pbs.twimg.com/media/FFc5qVTVQAkWXE2.jpg</v>
      </c>
      <c r="V463" s="96" t="str">
        <f>HYPERLINK("https://pbs.twimg.com/media/FFc5qVTVQAkWXE2.jpg")</f>
        <v>https://pbs.twimg.com/media/FFc5qVTVQAkWXE2.jpg</v>
      </c>
      <c r="W463" s="93">
        <v>44531.411469907405</v>
      </c>
      <c r="X463" s="100">
        <v>44531</v>
      </c>
      <c r="Y463" s="97" t="s">
        <v>929</v>
      </c>
      <c r="Z463" s="96" t="str">
        <f>HYPERLINK("https://twitter.com/useyour_____/status/1465982131620954115")</f>
        <v>https://twitter.com/useyour_____/status/1465982131620954115</v>
      </c>
      <c r="AA463" s="90"/>
      <c r="AB463" s="90"/>
      <c r="AC463" s="97" t="s">
        <v>1181</v>
      </c>
      <c r="AD463" s="90"/>
      <c r="AE463" s="90" t="b">
        <v>0</v>
      </c>
      <c r="AF463" s="90">
        <v>0</v>
      </c>
      <c r="AG463" s="97" t="s">
        <v>1338</v>
      </c>
      <c r="AH463" s="90" t="b">
        <v>0</v>
      </c>
      <c r="AI463" s="90" t="s">
        <v>1442</v>
      </c>
      <c r="AJ463" s="90"/>
      <c r="AK463" s="97" t="s">
        <v>1338</v>
      </c>
      <c r="AL463" s="90" t="b">
        <v>0</v>
      </c>
      <c r="AM463" s="90">
        <v>18</v>
      </c>
      <c r="AN463" s="97" t="s">
        <v>1196</v>
      </c>
      <c r="AO463" s="97" t="s">
        <v>1452</v>
      </c>
      <c r="AP463" s="90" t="b">
        <v>0</v>
      </c>
      <c r="AQ463" s="97" t="s">
        <v>1196</v>
      </c>
      <c r="AR463" s="90" t="s">
        <v>187</v>
      </c>
      <c r="AS463" s="90">
        <v>0</v>
      </c>
      <c r="AT463" s="90">
        <v>0</v>
      </c>
      <c r="AU463" s="90"/>
      <c r="AV463" s="90"/>
      <c r="AW463" s="90"/>
      <c r="AX463" s="90"/>
      <c r="AY463" s="90"/>
      <c r="AZ463" s="90"/>
      <c r="BA463" s="90"/>
      <c r="BB463" s="90"/>
      <c r="BC463">
        <v>1</v>
      </c>
      <c r="BD463" s="89" t="str">
        <f>REPLACE(INDEX(GroupVertices[Group],MATCH(Edges[[#This Row],[Vertex 1]],GroupVertices[Vertex],0)),1,1,"")</f>
        <v>5</v>
      </c>
      <c r="BE463" s="89" t="str">
        <f>REPLACE(INDEX(GroupVertices[Group],MATCH(Edges[[#This Row],[Vertex 2]],GroupVertices[Vertex],0)),1,1,"")</f>
        <v>3</v>
      </c>
      <c r="BF463" s="49"/>
      <c r="BG463" s="50"/>
      <c r="BH463" s="49"/>
      <c r="BI463" s="50"/>
      <c r="BJ463" s="49"/>
      <c r="BK463" s="50"/>
      <c r="BL463" s="49"/>
      <c r="BM463" s="50"/>
      <c r="BN463" s="49"/>
    </row>
    <row r="464" spans="1:66" ht="15">
      <c r="A464" s="65" t="s">
        <v>361</v>
      </c>
      <c r="B464" s="65" t="s">
        <v>368</v>
      </c>
      <c r="C464" s="66" t="s">
        <v>5817</v>
      </c>
      <c r="D464" s="67">
        <v>1</v>
      </c>
      <c r="E464" s="68" t="s">
        <v>132</v>
      </c>
      <c r="F464" s="69">
        <v>32</v>
      </c>
      <c r="G464" s="66" t="s">
        <v>51</v>
      </c>
      <c r="H464" s="70"/>
      <c r="I464" s="71"/>
      <c r="J464" s="71"/>
      <c r="K464" s="35" t="s">
        <v>65</v>
      </c>
      <c r="L464" s="79">
        <v>464</v>
      </c>
      <c r="M464" s="79"/>
      <c r="N464" s="73"/>
      <c r="O464" s="90" t="s">
        <v>522</v>
      </c>
      <c r="P464" s="93">
        <v>44531.411469907405</v>
      </c>
      <c r="Q464" s="90" t="s">
        <v>576</v>
      </c>
      <c r="R464" s="90"/>
      <c r="S464" s="90"/>
      <c r="T464" s="97" t="s">
        <v>712</v>
      </c>
      <c r="U464" s="96" t="str">
        <f>HYPERLINK("https://pbs.twimg.com/media/FFc5qVTVQAkWXE2.jpg")</f>
        <v>https://pbs.twimg.com/media/FFc5qVTVQAkWXE2.jpg</v>
      </c>
      <c r="V464" s="96" t="str">
        <f>HYPERLINK("https://pbs.twimg.com/media/FFc5qVTVQAkWXE2.jpg")</f>
        <v>https://pbs.twimg.com/media/FFc5qVTVQAkWXE2.jpg</v>
      </c>
      <c r="W464" s="93">
        <v>44531.411469907405</v>
      </c>
      <c r="X464" s="100">
        <v>44531</v>
      </c>
      <c r="Y464" s="97" t="s">
        <v>929</v>
      </c>
      <c r="Z464" s="96" t="str">
        <f>HYPERLINK("https://twitter.com/useyour_____/status/1465982131620954115")</f>
        <v>https://twitter.com/useyour_____/status/1465982131620954115</v>
      </c>
      <c r="AA464" s="90"/>
      <c r="AB464" s="90"/>
      <c r="AC464" s="97" t="s">
        <v>1181</v>
      </c>
      <c r="AD464" s="90"/>
      <c r="AE464" s="90" t="b">
        <v>0</v>
      </c>
      <c r="AF464" s="90">
        <v>0</v>
      </c>
      <c r="AG464" s="97" t="s">
        <v>1338</v>
      </c>
      <c r="AH464" s="90" t="b">
        <v>0</v>
      </c>
      <c r="AI464" s="90" t="s">
        <v>1442</v>
      </c>
      <c r="AJ464" s="90"/>
      <c r="AK464" s="97" t="s">
        <v>1338</v>
      </c>
      <c r="AL464" s="90" t="b">
        <v>0</v>
      </c>
      <c r="AM464" s="90">
        <v>18</v>
      </c>
      <c r="AN464" s="97" t="s">
        <v>1196</v>
      </c>
      <c r="AO464" s="97" t="s">
        <v>1452</v>
      </c>
      <c r="AP464" s="90" t="b">
        <v>0</v>
      </c>
      <c r="AQ464" s="97" t="s">
        <v>1196</v>
      </c>
      <c r="AR464" s="90" t="s">
        <v>187</v>
      </c>
      <c r="AS464" s="90">
        <v>0</v>
      </c>
      <c r="AT464" s="90">
        <v>0</v>
      </c>
      <c r="AU464" s="90"/>
      <c r="AV464" s="90"/>
      <c r="AW464" s="90"/>
      <c r="AX464" s="90"/>
      <c r="AY464" s="90"/>
      <c r="AZ464" s="90"/>
      <c r="BA464" s="90"/>
      <c r="BB464" s="90"/>
      <c r="BC464">
        <v>1</v>
      </c>
      <c r="BD464" s="89" t="str">
        <f>REPLACE(INDEX(GroupVertices[Group],MATCH(Edges[[#This Row],[Vertex 1]],GroupVertices[Vertex],0)),1,1,"")</f>
        <v>5</v>
      </c>
      <c r="BE464" s="89" t="str">
        <f>REPLACE(INDEX(GroupVertices[Group],MATCH(Edges[[#This Row],[Vertex 2]],GroupVertices[Vertex],0)),1,1,"")</f>
        <v>3</v>
      </c>
      <c r="BF464" s="49">
        <v>0</v>
      </c>
      <c r="BG464" s="50">
        <v>0</v>
      </c>
      <c r="BH464" s="49">
        <v>0</v>
      </c>
      <c r="BI464" s="50">
        <v>0</v>
      </c>
      <c r="BJ464" s="49">
        <v>0</v>
      </c>
      <c r="BK464" s="50">
        <v>0</v>
      </c>
      <c r="BL464" s="49">
        <v>13</v>
      </c>
      <c r="BM464" s="50">
        <v>100</v>
      </c>
      <c r="BN464" s="49">
        <v>13</v>
      </c>
    </row>
    <row r="465" spans="1:66" ht="15">
      <c r="A465" s="65" t="s">
        <v>361</v>
      </c>
      <c r="B465" s="65" t="s">
        <v>374</v>
      </c>
      <c r="C465" s="66" t="s">
        <v>5817</v>
      </c>
      <c r="D465" s="67">
        <v>1</v>
      </c>
      <c r="E465" s="68" t="s">
        <v>132</v>
      </c>
      <c r="F465" s="69">
        <v>32</v>
      </c>
      <c r="G465" s="66" t="s">
        <v>51</v>
      </c>
      <c r="H465" s="70"/>
      <c r="I465" s="71"/>
      <c r="J465" s="71"/>
      <c r="K465" s="35" t="s">
        <v>65</v>
      </c>
      <c r="L465" s="79">
        <v>465</v>
      </c>
      <c r="M465" s="79"/>
      <c r="N465" s="73"/>
      <c r="O465" s="90" t="s">
        <v>522</v>
      </c>
      <c r="P465" s="93">
        <v>44533.43609953704</v>
      </c>
      <c r="Q465" s="90" t="s">
        <v>656</v>
      </c>
      <c r="R465" s="96" t="str">
        <f>HYPERLINK("https://twitter.com/millatiuni/status/1466446380843606025")</f>
        <v>https://twitter.com/millatiuni/status/1466446380843606025</v>
      </c>
      <c r="S465" s="90" t="s">
        <v>693</v>
      </c>
      <c r="T465" s="90"/>
      <c r="U465" s="90"/>
      <c r="V465" s="96" t="str">
        <f>HYPERLINK("https://abs.twimg.com/sticky/default_profile_images/default_profile_normal.png")</f>
        <v>https://abs.twimg.com/sticky/default_profile_images/default_profile_normal.png</v>
      </c>
      <c r="W465" s="93">
        <v>44533.43609953704</v>
      </c>
      <c r="X465" s="100">
        <v>44533</v>
      </c>
      <c r="Y465" s="97" t="s">
        <v>930</v>
      </c>
      <c r="Z465" s="96" t="str">
        <f>HYPERLINK("https://twitter.com/useyour_____/status/1466715834479521793")</f>
        <v>https://twitter.com/useyour_____/status/1466715834479521793</v>
      </c>
      <c r="AA465" s="90"/>
      <c r="AB465" s="90"/>
      <c r="AC465" s="97" t="s">
        <v>1182</v>
      </c>
      <c r="AD465" s="90"/>
      <c r="AE465" s="90" t="b">
        <v>0</v>
      </c>
      <c r="AF465" s="90">
        <v>0</v>
      </c>
      <c r="AG465" s="97" t="s">
        <v>1338</v>
      </c>
      <c r="AH465" s="90" t="b">
        <v>1</v>
      </c>
      <c r="AI465" s="90" t="s">
        <v>1442</v>
      </c>
      <c r="AJ465" s="90"/>
      <c r="AK465" s="97" t="s">
        <v>1448</v>
      </c>
      <c r="AL465" s="90" t="b">
        <v>0</v>
      </c>
      <c r="AM465" s="90">
        <v>29</v>
      </c>
      <c r="AN465" s="97" t="s">
        <v>1218</v>
      </c>
      <c r="AO465" s="97" t="s">
        <v>1452</v>
      </c>
      <c r="AP465" s="90" t="b">
        <v>0</v>
      </c>
      <c r="AQ465" s="97" t="s">
        <v>1218</v>
      </c>
      <c r="AR465" s="90" t="s">
        <v>187</v>
      </c>
      <c r="AS465" s="90">
        <v>0</v>
      </c>
      <c r="AT465" s="90">
        <v>0</v>
      </c>
      <c r="AU465" s="90"/>
      <c r="AV465" s="90"/>
      <c r="AW465" s="90"/>
      <c r="AX465" s="90"/>
      <c r="AY465" s="90"/>
      <c r="AZ465" s="90"/>
      <c r="BA465" s="90"/>
      <c r="BB465" s="90"/>
      <c r="BC465">
        <v>1</v>
      </c>
      <c r="BD465" s="89" t="str">
        <f>REPLACE(INDEX(GroupVertices[Group],MATCH(Edges[[#This Row],[Vertex 1]],GroupVertices[Vertex],0)),1,1,"")</f>
        <v>5</v>
      </c>
      <c r="BE465" s="89" t="str">
        <f>REPLACE(INDEX(GroupVertices[Group],MATCH(Edges[[#This Row],[Vertex 2]],GroupVertices[Vertex],0)),1,1,"")</f>
        <v>1</v>
      </c>
      <c r="BF465" s="49">
        <v>0</v>
      </c>
      <c r="BG465" s="50">
        <v>0</v>
      </c>
      <c r="BH465" s="49">
        <v>0</v>
      </c>
      <c r="BI465" s="50">
        <v>0</v>
      </c>
      <c r="BJ465" s="49">
        <v>0</v>
      </c>
      <c r="BK465" s="50">
        <v>0</v>
      </c>
      <c r="BL465" s="49">
        <v>6</v>
      </c>
      <c r="BM465" s="50">
        <v>100</v>
      </c>
      <c r="BN465" s="49">
        <v>6</v>
      </c>
    </row>
    <row r="466" spans="1:66" ht="15">
      <c r="A466" s="65" t="s">
        <v>362</v>
      </c>
      <c r="B466" s="65" t="s">
        <v>374</v>
      </c>
      <c r="C466" s="66" t="s">
        <v>5817</v>
      </c>
      <c r="D466" s="67">
        <v>1</v>
      </c>
      <c r="E466" s="68" t="s">
        <v>132</v>
      </c>
      <c r="F466" s="69">
        <v>32</v>
      </c>
      <c r="G466" s="66" t="s">
        <v>51</v>
      </c>
      <c r="H466" s="70"/>
      <c r="I466" s="71"/>
      <c r="J466" s="71"/>
      <c r="K466" s="35" t="s">
        <v>65</v>
      </c>
      <c r="L466" s="79">
        <v>466</v>
      </c>
      <c r="M466" s="79"/>
      <c r="N466" s="73"/>
      <c r="O466" s="90" t="s">
        <v>522</v>
      </c>
      <c r="P466" s="93">
        <v>44533.43984953704</v>
      </c>
      <c r="Q466" s="90" t="s">
        <v>656</v>
      </c>
      <c r="R466" s="96" t="str">
        <f>HYPERLINK("https://twitter.com/millatiuni/status/1466446380843606025")</f>
        <v>https://twitter.com/millatiuni/status/1466446380843606025</v>
      </c>
      <c r="S466" s="90" t="s">
        <v>693</v>
      </c>
      <c r="T466" s="90"/>
      <c r="U466" s="90"/>
      <c r="V466" s="96" t="str">
        <f>HYPERLINK("https://pbs.twimg.com/profile_images/1153327682907705344/OKrwgUrU_normal.jpg")</f>
        <v>https://pbs.twimg.com/profile_images/1153327682907705344/OKrwgUrU_normal.jpg</v>
      </c>
      <c r="W466" s="93">
        <v>44533.43984953704</v>
      </c>
      <c r="X466" s="100">
        <v>44533</v>
      </c>
      <c r="Y466" s="97" t="s">
        <v>931</v>
      </c>
      <c r="Z466" s="96" t="str">
        <f>HYPERLINK("https://twitter.com/essihelminen/status/1466717192754499584")</f>
        <v>https://twitter.com/essihelminen/status/1466717192754499584</v>
      </c>
      <c r="AA466" s="90"/>
      <c r="AB466" s="90"/>
      <c r="AC466" s="97" t="s">
        <v>1183</v>
      </c>
      <c r="AD466" s="90"/>
      <c r="AE466" s="90" t="b">
        <v>0</v>
      </c>
      <c r="AF466" s="90">
        <v>0</v>
      </c>
      <c r="AG466" s="97" t="s">
        <v>1338</v>
      </c>
      <c r="AH466" s="90" t="b">
        <v>1</v>
      </c>
      <c r="AI466" s="90" t="s">
        <v>1442</v>
      </c>
      <c r="AJ466" s="90"/>
      <c r="AK466" s="97" t="s">
        <v>1448</v>
      </c>
      <c r="AL466" s="90" t="b">
        <v>0</v>
      </c>
      <c r="AM466" s="90">
        <v>29</v>
      </c>
      <c r="AN466" s="97" t="s">
        <v>1218</v>
      </c>
      <c r="AO466" s="97" t="s">
        <v>1451</v>
      </c>
      <c r="AP466" s="90" t="b">
        <v>0</v>
      </c>
      <c r="AQ466" s="97" t="s">
        <v>1218</v>
      </c>
      <c r="AR466" s="90" t="s">
        <v>187</v>
      </c>
      <c r="AS466" s="90">
        <v>0</v>
      </c>
      <c r="AT466" s="90">
        <v>0</v>
      </c>
      <c r="AU466" s="90"/>
      <c r="AV466" s="90"/>
      <c r="AW466" s="90"/>
      <c r="AX466" s="90"/>
      <c r="AY466" s="90"/>
      <c r="AZ466" s="90"/>
      <c r="BA466" s="90"/>
      <c r="BB466" s="90"/>
      <c r="BC466">
        <v>1</v>
      </c>
      <c r="BD466" s="89" t="str">
        <f>REPLACE(INDEX(GroupVertices[Group],MATCH(Edges[[#This Row],[Vertex 1]],GroupVertices[Vertex],0)),1,1,"")</f>
        <v>1</v>
      </c>
      <c r="BE466" s="89" t="str">
        <f>REPLACE(INDEX(GroupVertices[Group],MATCH(Edges[[#This Row],[Vertex 2]],GroupVertices[Vertex],0)),1,1,"")</f>
        <v>1</v>
      </c>
      <c r="BF466" s="49">
        <v>0</v>
      </c>
      <c r="BG466" s="50">
        <v>0</v>
      </c>
      <c r="BH466" s="49">
        <v>0</v>
      </c>
      <c r="BI466" s="50">
        <v>0</v>
      </c>
      <c r="BJ466" s="49">
        <v>0</v>
      </c>
      <c r="BK466" s="50">
        <v>0</v>
      </c>
      <c r="BL466" s="49">
        <v>6</v>
      </c>
      <c r="BM466" s="50">
        <v>100</v>
      </c>
      <c r="BN466" s="49">
        <v>6</v>
      </c>
    </row>
    <row r="467" spans="1:66" ht="15">
      <c r="A467" s="65" t="s">
        <v>363</v>
      </c>
      <c r="B467" s="65" t="s">
        <v>349</v>
      </c>
      <c r="C467" s="66" t="s">
        <v>5817</v>
      </c>
      <c r="D467" s="67">
        <v>1</v>
      </c>
      <c r="E467" s="68" t="s">
        <v>132</v>
      </c>
      <c r="F467" s="69">
        <v>32</v>
      </c>
      <c r="G467" s="66" t="s">
        <v>51</v>
      </c>
      <c r="H467" s="70"/>
      <c r="I467" s="71"/>
      <c r="J467" s="71"/>
      <c r="K467" s="35" t="s">
        <v>65</v>
      </c>
      <c r="L467" s="79">
        <v>467</v>
      </c>
      <c r="M467" s="79"/>
      <c r="N467" s="73"/>
      <c r="O467" s="90" t="s">
        <v>522</v>
      </c>
      <c r="P467" s="93">
        <v>44533.45960648148</v>
      </c>
      <c r="Q467" s="90" t="s">
        <v>664</v>
      </c>
      <c r="R467" s="90"/>
      <c r="S467" s="90"/>
      <c r="T467" s="90"/>
      <c r="U467" s="90"/>
      <c r="V467" s="96" t="str">
        <f>HYPERLINK("https://abs.twimg.com/sticky/default_profile_images/default_profile_normal.png")</f>
        <v>https://abs.twimg.com/sticky/default_profile_images/default_profile_normal.png</v>
      </c>
      <c r="W467" s="93">
        <v>44533.45960648148</v>
      </c>
      <c r="X467" s="100">
        <v>44533</v>
      </c>
      <c r="Y467" s="97" t="s">
        <v>932</v>
      </c>
      <c r="Z467" s="96" t="str">
        <f>HYPERLINK("https://twitter.com/babutheemperor/status/1466724351286427651")</f>
        <v>https://twitter.com/babutheemperor/status/1466724351286427651</v>
      </c>
      <c r="AA467" s="90"/>
      <c r="AB467" s="90"/>
      <c r="AC467" s="97" t="s">
        <v>1184</v>
      </c>
      <c r="AD467" s="90"/>
      <c r="AE467" s="90" t="b">
        <v>0</v>
      </c>
      <c r="AF467" s="90">
        <v>0</v>
      </c>
      <c r="AG467" s="97" t="s">
        <v>1338</v>
      </c>
      <c r="AH467" s="90" t="b">
        <v>0</v>
      </c>
      <c r="AI467" s="90" t="s">
        <v>1442</v>
      </c>
      <c r="AJ467" s="90"/>
      <c r="AK467" s="97" t="s">
        <v>1338</v>
      </c>
      <c r="AL467" s="90" t="b">
        <v>0</v>
      </c>
      <c r="AM467" s="90">
        <v>3</v>
      </c>
      <c r="AN467" s="97" t="s">
        <v>1203</v>
      </c>
      <c r="AO467" s="97" t="s">
        <v>1451</v>
      </c>
      <c r="AP467" s="90" t="b">
        <v>0</v>
      </c>
      <c r="AQ467" s="97" t="s">
        <v>1203</v>
      </c>
      <c r="AR467" s="90" t="s">
        <v>187</v>
      </c>
      <c r="AS467" s="90">
        <v>0</v>
      </c>
      <c r="AT467" s="90">
        <v>0</v>
      </c>
      <c r="AU467" s="90"/>
      <c r="AV467" s="90"/>
      <c r="AW467" s="90"/>
      <c r="AX467" s="90"/>
      <c r="AY467" s="90"/>
      <c r="AZ467" s="90"/>
      <c r="BA467" s="90"/>
      <c r="BB467" s="90"/>
      <c r="BC467">
        <v>1</v>
      </c>
      <c r="BD467" s="89" t="str">
        <f>REPLACE(INDEX(GroupVertices[Group],MATCH(Edges[[#This Row],[Vertex 1]],GroupVertices[Vertex],0)),1,1,"")</f>
        <v>5</v>
      </c>
      <c r="BE467" s="89" t="str">
        <f>REPLACE(INDEX(GroupVertices[Group],MATCH(Edges[[#This Row],[Vertex 2]],GroupVertices[Vertex],0)),1,1,"")</f>
        <v>5</v>
      </c>
      <c r="BF467" s="49"/>
      <c r="BG467" s="50"/>
      <c r="BH467" s="49"/>
      <c r="BI467" s="50"/>
      <c r="BJ467" s="49"/>
      <c r="BK467" s="50"/>
      <c r="BL467" s="49"/>
      <c r="BM467" s="50"/>
      <c r="BN467" s="49"/>
    </row>
    <row r="468" spans="1:66" ht="15">
      <c r="A468" s="65" t="s">
        <v>363</v>
      </c>
      <c r="B468" s="65" t="s">
        <v>501</v>
      </c>
      <c r="C468" s="66" t="s">
        <v>5817</v>
      </c>
      <c r="D468" s="67">
        <v>1</v>
      </c>
      <c r="E468" s="68" t="s">
        <v>132</v>
      </c>
      <c r="F468" s="69">
        <v>32</v>
      </c>
      <c r="G468" s="66" t="s">
        <v>51</v>
      </c>
      <c r="H468" s="70"/>
      <c r="I468" s="71"/>
      <c r="J468" s="71"/>
      <c r="K468" s="35" t="s">
        <v>65</v>
      </c>
      <c r="L468" s="79">
        <v>468</v>
      </c>
      <c r="M468" s="79"/>
      <c r="N468" s="73"/>
      <c r="O468" s="90" t="s">
        <v>523</v>
      </c>
      <c r="P468" s="93">
        <v>44533.45960648148</v>
      </c>
      <c r="Q468" s="90" t="s">
        <v>664</v>
      </c>
      <c r="R468" s="90"/>
      <c r="S468" s="90"/>
      <c r="T468" s="90"/>
      <c r="U468" s="90"/>
      <c r="V468" s="96" t="str">
        <f>HYPERLINK("https://abs.twimg.com/sticky/default_profile_images/default_profile_normal.png")</f>
        <v>https://abs.twimg.com/sticky/default_profile_images/default_profile_normal.png</v>
      </c>
      <c r="W468" s="93">
        <v>44533.45960648148</v>
      </c>
      <c r="X468" s="100">
        <v>44533</v>
      </c>
      <c r="Y468" s="97" t="s">
        <v>932</v>
      </c>
      <c r="Z468" s="96" t="str">
        <f>HYPERLINK("https://twitter.com/babutheemperor/status/1466724351286427651")</f>
        <v>https://twitter.com/babutheemperor/status/1466724351286427651</v>
      </c>
      <c r="AA468" s="90"/>
      <c r="AB468" s="90"/>
      <c r="AC468" s="97" t="s">
        <v>1184</v>
      </c>
      <c r="AD468" s="90"/>
      <c r="AE468" s="90" t="b">
        <v>0</v>
      </c>
      <c r="AF468" s="90">
        <v>0</v>
      </c>
      <c r="AG468" s="97" t="s">
        <v>1338</v>
      </c>
      <c r="AH468" s="90" t="b">
        <v>0</v>
      </c>
      <c r="AI468" s="90" t="s">
        <v>1442</v>
      </c>
      <c r="AJ468" s="90"/>
      <c r="AK468" s="97" t="s">
        <v>1338</v>
      </c>
      <c r="AL468" s="90" t="b">
        <v>0</v>
      </c>
      <c r="AM468" s="90">
        <v>3</v>
      </c>
      <c r="AN468" s="97" t="s">
        <v>1203</v>
      </c>
      <c r="AO468" s="97" t="s">
        <v>1451</v>
      </c>
      <c r="AP468" s="90" t="b">
        <v>0</v>
      </c>
      <c r="AQ468" s="97" t="s">
        <v>1203</v>
      </c>
      <c r="AR468" s="90" t="s">
        <v>187</v>
      </c>
      <c r="AS468" s="90">
        <v>0</v>
      </c>
      <c r="AT468" s="90">
        <v>0</v>
      </c>
      <c r="AU468" s="90"/>
      <c r="AV468" s="90"/>
      <c r="AW468" s="90"/>
      <c r="AX468" s="90"/>
      <c r="AY468" s="90"/>
      <c r="AZ468" s="90"/>
      <c r="BA468" s="90"/>
      <c r="BB468" s="90"/>
      <c r="BC468">
        <v>1</v>
      </c>
      <c r="BD468" s="89" t="str">
        <f>REPLACE(INDEX(GroupVertices[Group],MATCH(Edges[[#This Row],[Vertex 1]],GroupVertices[Vertex],0)),1,1,"")</f>
        <v>5</v>
      </c>
      <c r="BE468" s="89" t="str">
        <f>REPLACE(INDEX(GroupVertices[Group],MATCH(Edges[[#This Row],[Vertex 2]],GroupVertices[Vertex],0)),1,1,"")</f>
        <v>5</v>
      </c>
      <c r="BF468" s="49">
        <v>1</v>
      </c>
      <c r="BG468" s="50">
        <v>2.7027027027027026</v>
      </c>
      <c r="BH468" s="49">
        <v>0</v>
      </c>
      <c r="BI468" s="50">
        <v>0</v>
      </c>
      <c r="BJ468" s="49">
        <v>0</v>
      </c>
      <c r="BK468" s="50">
        <v>0</v>
      </c>
      <c r="BL468" s="49">
        <v>36</v>
      </c>
      <c r="BM468" s="50">
        <v>97.29729729729729</v>
      </c>
      <c r="BN468" s="49">
        <v>37</v>
      </c>
    </row>
    <row r="469" spans="1:66" ht="15">
      <c r="A469" s="65" t="s">
        <v>364</v>
      </c>
      <c r="B469" s="65" t="s">
        <v>503</v>
      </c>
      <c r="C469" s="66" t="s">
        <v>5817</v>
      </c>
      <c r="D469" s="67">
        <v>1</v>
      </c>
      <c r="E469" s="68" t="s">
        <v>132</v>
      </c>
      <c r="F469" s="69">
        <v>32</v>
      </c>
      <c r="G469" s="66" t="s">
        <v>51</v>
      </c>
      <c r="H469" s="70"/>
      <c r="I469" s="71"/>
      <c r="J469" s="71"/>
      <c r="K469" s="35" t="s">
        <v>65</v>
      </c>
      <c r="L469" s="79">
        <v>469</v>
      </c>
      <c r="M469" s="79"/>
      <c r="N469" s="73"/>
      <c r="O469" s="90" t="s">
        <v>523</v>
      </c>
      <c r="P469" s="93">
        <v>44533.47298611111</v>
      </c>
      <c r="Q469" s="90" t="s">
        <v>668</v>
      </c>
      <c r="R469" s="90"/>
      <c r="S469" s="90"/>
      <c r="T469" s="90"/>
      <c r="U469" s="90"/>
      <c r="V469" s="96" t="str">
        <f>HYPERLINK("https://pbs.twimg.com/profile_images/1253038095722860545/mHcVkmOw_normal.png")</f>
        <v>https://pbs.twimg.com/profile_images/1253038095722860545/mHcVkmOw_normal.png</v>
      </c>
      <c r="W469" s="93">
        <v>44533.47298611111</v>
      </c>
      <c r="X469" s="100">
        <v>44533</v>
      </c>
      <c r="Y469" s="97" t="s">
        <v>933</v>
      </c>
      <c r="Z469" s="96" t="str">
        <f>HYPERLINK("https://twitter.com/s___n_r_______n/status/1466729198274371585")</f>
        <v>https://twitter.com/s___n_r_______n/status/1466729198274371585</v>
      </c>
      <c r="AA469" s="90"/>
      <c r="AB469" s="90"/>
      <c r="AC469" s="97" t="s">
        <v>1185</v>
      </c>
      <c r="AD469" s="97" t="s">
        <v>1319</v>
      </c>
      <c r="AE469" s="90" t="b">
        <v>0</v>
      </c>
      <c r="AF469" s="90">
        <v>3</v>
      </c>
      <c r="AG469" s="97" t="s">
        <v>1426</v>
      </c>
      <c r="AH469" s="90" t="b">
        <v>0</v>
      </c>
      <c r="AI469" s="90" t="s">
        <v>1442</v>
      </c>
      <c r="AJ469" s="90"/>
      <c r="AK469" s="97" t="s">
        <v>1338</v>
      </c>
      <c r="AL469" s="90" t="b">
        <v>0</v>
      </c>
      <c r="AM469" s="90">
        <v>0</v>
      </c>
      <c r="AN469" s="97" t="s">
        <v>1338</v>
      </c>
      <c r="AO469" s="97" t="s">
        <v>1452</v>
      </c>
      <c r="AP469" s="90" t="b">
        <v>0</v>
      </c>
      <c r="AQ469" s="97" t="s">
        <v>1319</v>
      </c>
      <c r="AR469" s="90" t="s">
        <v>187</v>
      </c>
      <c r="AS469" s="90">
        <v>0</v>
      </c>
      <c r="AT469" s="90">
        <v>0</v>
      </c>
      <c r="AU469" s="90"/>
      <c r="AV469" s="90"/>
      <c r="AW469" s="90"/>
      <c r="AX469" s="90"/>
      <c r="AY469" s="90"/>
      <c r="AZ469" s="90"/>
      <c r="BA469" s="90"/>
      <c r="BB469" s="90"/>
      <c r="BC469">
        <v>1</v>
      </c>
      <c r="BD469" s="89" t="str">
        <f>REPLACE(INDEX(GroupVertices[Group],MATCH(Edges[[#This Row],[Vertex 1]],GroupVertices[Vertex],0)),1,1,"")</f>
        <v>5</v>
      </c>
      <c r="BE469" s="89" t="str">
        <f>REPLACE(INDEX(GroupVertices[Group],MATCH(Edges[[#This Row],[Vertex 2]],GroupVertices[Vertex],0)),1,1,"")</f>
        <v>5</v>
      </c>
      <c r="BF469" s="49">
        <v>0</v>
      </c>
      <c r="BG469" s="50">
        <v>0</v>
      </c>
      <c r="BH469" s="49">
        <v>0</v>
      </c>
      <c r="BI469" s="50">
        <v>0</v>
      </c>
      <c r="BJ469" s="49">
        <v>0</v>
      </c>
      <c r="BK469" s="50">
        <v>0</v>
      </c>
      <c r="BL469" s="49">
        <v>13</v>
      </c>
      <c r="BM469" s="50">
        <v>100</v>
      </c>
      <c r="BN469" s="49">
        <v>13</v>
      </c>
    </row>
    <row r="470" spans="1:66" ht="15">
      <c r="A470" s="65" t="s">
        <v>364</v>
      </c>
      <c r="B470" s="65" t="s">
        <v>501</v>
      </c>
      <c r="C470" s="66" t="s">
        <v>5817</v>
      </c>
      <c r="D470" s="67">
        <v>1</v>
      </c>
      <c r="E470" s="68" t="s">
        <v>132</v>
      </c>
      <c r="F470" s="69">
        <v>32</v>
      </c>
      <c r="G470" s="66" t="s">
        <v>51</v>
      </c>
      <c r="H470" s="70"/>
      <c r="I470" s="71"/>
      <c r="J470" s="71"/>
      <c r="K470" s="35" t="s">
        <v>65</v>
      </c>
      <c r="L470" s="79">
        <v>470</v>
      </c>
      <c r="M470" s="79"/>
      <c r="N470" s="73"/>
      <c r="O470" s="90" t="s">
        <v>524</v>
      </c>
      <c r="P470" s="93">
        <v>44533.47298611111</v>
      </c>
      <c r="Q470" s="90" t="s">
        <v>668</v>
      </c>
      <c r="R470" s="90"/>
      <c r="S470" s="90"/>
      <c r="T470" s="90"/>
      <c r="U470" s="90"/>
      <c r="V470" s="96" t="str">
        <f>HYPERLINK("https://pbs.twimg.com/profile_images/1253038095722860545/mHcVkmOw_normal.png")</f>
        <v>https://pbs.twimg.com/profile_images/1253038095722860545/mHcVkmOw_normal.png</v>
      </c>
      <c r="W470" s="93">
        <v>44533.47298611111</v>
      </c>
      <c r="X470" s="100">
        <v>44533</v>
      </c>
      <c r="Y470" s="97" t="s">
        <v>933</v>
      </c>
      <c r="Z470" s="96" t="str">
        <f>HYPERLINK("https://twitter.com/s___n_r_______n/status/1466729198274371585")</f>
        <v>https://twitter.com/s___n_r_______n/status/1466729198274371585</v>
      </c>
      <c r="AA470" s="90"/>
      <c r="AB470" s="90"/>
      <c r="AC470" s="97" t="s">
        <v>1185</v>
      </c>
      <c r="AD470" s="97" t="s">
        <v>1319</v>
      </c>
      <c r="AE470" s="90" t="b">
        <v>0</v>
      </c>
      <c r="AF470" s="90">
        <v>3</v>
      </c>
      <c r="AG470" s="97" t="s">
        <v>1426</v>
      </c>
      <c r="AH470" s="90" t="b">
        <v>0</v>
      </c>
      <c r="AI470" s="90" t="s">
        <v>1442</v>
      </c>
      <c r="AJ470" s="90"/>
      <c r="AK470" s="97" t="s">
        <v>1338</v>
      </c>
      <c r="AL470" s="90" t="b">
        <v>0</v>
      </c>
      <c r="AM470" s="90">
        <v>0</v>
      </c>
      <c r="AN470" s="97" t="s">
        <v>1338</v>
      </c>
      <c r="AO470" s="97" t="s">
        <v>1452</v>
      </c>
      <c r="AP470" s="90" t="b">
        <v>0</v>
      </c>
      <c r="AQ470" s="97" t="s">
        <v>1319</v>
      </c>
      <c r="AR470" s="90" t="s">
        <v>187</v>
      </c>
      <c r="AS470" s="90">
        <v>0</v>
      </c>
      <c r="AT470" s="90">
        <v>0</v>
      </c>
      <c r="AU470" s="90"/>
      <c r="AV470" s="90"/>
      <c r="AW470" s="90"/>
      <c r="AX470" s="90"/>
      <c r="AY470" s="90"/>
      <c r="AZ470" s="90"/>
      <c r="BA470" s="90"/>
      <c r="BB470" s="90"/>
      <c r="BC470">
        <v>1</v>
      </c>
      <c r="BD470" s="89" t="str">
        <f>REPLACE(INDEX(GroupVertices[Group],MATCH(Edges[[#This Row],[Vertex 1]],GroupVertices[Vertex],0)),1,1,"")</f>
        <v>5</v>
      </c>
      <c r="BE470" s="89" t="str">
        <f>REPLACE(INDEX(GroupVertices[Group],MATCH(Edges[[#This Row],[Vertex 2]],GroupVertices[Vertex],0)),1,1,"")</f>
        <v>5</v>
      </c>
      <c r="BF470" s="49"/>
      <c r="BG470" s="50"/>
      <c r="BH470" s="49"/>
      <c r="BI470" s="50"/>
      <c r="BJ470" s="49"/>
      <c r="BK470" s="50"/>
      <c r="BL470" s="49"/>
      <c r="BM470" s="50"/>
      <c r="BN470" s="49"/>
    </row>
    <row r="471" spans="1:66" ht="15">
      <c r="A471" s="65" t="s">
        <v>365</v>
      </c>
      <c r="B471" s="65" t="s">
        <v>429</v>
      </c>
      <c r="C471" s="66" t="s">
        <v>5817</v>
      </c>
      <c r="D471" s="67">
        <v>1</v>
      </c>
      <c r="E471" s="68" t="s">
        <v>132</v>
      </c>
      <c r="F471" s="69">
        <v>32</v>
      </c>
      <c r="G471" s="66" t="s">
        <v>51</v>
      </c>
      <c r="H471" s="70"/>
      <c r="I471" s="71"/>
      <c r="J471" s="71"/>
      <c r="K471" s="35" t="s">
        <v>65</v>
      </c>
      <c r="L471" s="79">
        <v>471</v>
      </c>
      <c r="M471" s="79"/>
      <c r="N471" s="73"/>
      <c r="O471" s="90" t="s">
        <v>523</v>
      </c>
      <c r="P471" s="93">
        <v>44527.563252314816</v>
      </c>
      <c r="Q471" s="90" t="s">
        <v>669</v>
      </c>
      <c r="R471" s="90"/>
      <c r="S471" s="90"/>
      <c r="T471" s="90"/>
      <c r="U471" s="90"/>
      <c r="V471" s="96" t="str">
        <f>HYPERLINK("https://pbs.twimg.com/profile_images/1354944916636528649/KdncagfG_normal.jpg")</f>
        <v>https://pbs.twimg.com/profile_images/1354944916636528649/KdncagfG_normal.jpg</v>
      </c>
      <c r="W471" s="93">
        <v>44527.563252314816</v>
      </c>
      <c r="X471" s="100">
        <v>44527</v>
      </c>
      <c r="Y471" s="97" t="s">
        <v>934</v>
      </c>
      <c r="Z471" s="96" t="str">
        <f>HYPERLINK("https://twitter.com/vuokkovirkki/status/1464587585737605120")</f>
        <v>https://twitter.com/vuokkovirkki/status/1464587585737605120</v>
      </c>
      <c r="AA471" s="90"/>
      <c r="AB471" s="90"/>
      <c r="AC471" s="97" t="s">
        <v>1186</v>
      </c>
      <c r="AD471" s="97" t="s">
        <v>1257</v>
      </c>
      <c r="AE471" s="90" t="b">
        <v>0</v>
      </c>
      <c r="AF471" s="90">
        <v>15</v>
      </c>
      <c r="AG471" s="97" t="s">
        <v>1374</v>
      </c>
      <c r="AH471" s="90" t="b">
        <v>0</v>
      </c>
      <c r="AI471" s="90" t="s">
        <v>1442</v>
      </c>
      <c r="AJ471" s="90"/>
      <c r="AK471" s="97" t="s">
        <v>1338</v>
      </c>
      <c r="AL471" s="90" t="b">
        <v>0</v>
      </c>
      <c r="AM471" s="90">
        <v>0</v>
      </c>
      <c r="AN471" s="97" t="s">
        <v>1338</v>
      </c>
      <c r="AO471" s="97" t="s">
        <v>1450</v>
      </c>
      <c r="AP471" s="90" t="b">
        <v>0</v>
      </c>
      <c r="AQ471" s="97" t="s">
        <v>1257</v>
      </c>
      <c r="AR471" s="90" t="s">
        <v>187</v>
      </c>
      <c r="AS471" s="90">
        <v>0</v>
      </c>
      <c r="AT471" s="90">
        <v>0</v>
      </c>
      <c r="AU471" s="90"/>
      <c r="AV471" s="90"/>
      <c r="AW471" s="90"/>
      <c r="AX471" s="90"/>
      <c r="AY471" s="90"/>
      <c r="AZ471" s="90"/>
      <c r="BA471" s="90"/>
      <c r="BB471" s="90"/>
      <c r="BC471">
        <v>1</v>
      </c>
      <c r="BD471" s="89" t="str">
        <f>REPLACE(INDEX(GroupVertices[Group],MATCH(Edges[[#This Row],[Vertex 1]],GroupVertices[Vertex],0)),1,1,"")</f>
        <v>4</v>
      </c>
      <c r="BE471" s="89" t="str">
        <f>REPLACE(INDEX(GroupVertices[Group],MATCH(Edges[[#This Row],[Vertex 2]],GroupVertices[Vertex],0)),1,1,"")</f>
        <v>4</v>
      </c>
      <c r="BF471" s="49">
        <v>0</v>
      </c>
      <c r="BG471" s="50">
        <v>0</v>
      </c>
      <c r="BH471" s="49">
        <v>0</v>
      </c>
      <c r="BI471" s="50">
        <v>0</v>
      </c>
      <c r="BJ471" s="49">
        <v>0</v>
      </c>
      <c r="BK471" s="50">
        <v>0</v>
      </c>
      <c r="BL471" s="49">
        <v>20</v>
      </c>
      <c r="BM471" s="50">
        <v>100</v>
      </c>
      <c r="BN471" s="49">
        <v>20</v>
      </c>
    </row>
    <row r="472" spans="1:66" ht="15">
      <c r="A472" s="65" t="s">
        <v>365</v>
      </c>
      <c r="B472" s="65" t="s">
        <v>374</v>
      </c>
      <c r="C472" s="66" t="s">
        <v>5817</v>
      </c>
      <c r="D472" s="67">
        <v>1</v>
      </c>
      <c r="E472" s="68" t="s">
        <v>132</v>
      </c>
      <c r="F472" s="69">
        <v>32</v>
      </c>
      <c r="G472" s="66" t="s">
        <v>51</v>
      </c>
      <c r="H472" s="70"/>
      <c r="I472" s="71"/>
      <c r="J472" s="71"/>
      <c r="K472" s="35" t="s">
        <v>65</v>
      </c>
      <c r="L472" s="79">
        <v>472</v>
      </c>
      <c r="M472" s="79"/>
      <c r="N472" s="73"/>
      <c r="O472" s="90" t="s">
        <v>522</v>
      </c>
      <c r="P472" s="93">
        <v>44533.517164351855</v>
      </c>
      <c r="Q472" s="90" t="s">
        <v>656</v>
      </c>
      <c r="R472" s="96" t="str">
        <f>HYPERLINK("https://twitter.com/millatiuni/status/1466446380843606025")</f>
        <v>https://twitter.com/millatiuni/status/1466446380843606025</v>
      </c>
      <c r="S472" s="90" t="s">
        <v>693</v>
      </c>
      <c r="T472" s="90"/>
      <c r="U472" s="90"/>
      <c r="V472" s="96" t="str">
        <f>HYPERLINK("https://pbs.twimg.com/profile_images/1354944916636528649/KdncagfG_normal.jpg")</f>
        <v>https://pbs.twimg.com/profile_images/1354944916636528649/KdncagfG_normal.jpg</v>
      </c>
      <c r="W472" s="93">
        <v>44533.517164351855</v>
      </c>
      <c r="X472" s="100">
        <v>44533</v>
      </c>
      <c r="Y472" s="97" t="s">
        <v>935</v>
      </c>
      <c r="Z472" s="96" t="str">
        <f>HYPERLINK("https://twitter.com/vuokkovirkki/status/1466745210101288973")</f>
        <v>https://twitter.com/vuokkovirkki/status/1466745210101288973</v>
      </c>
      <c r="AA472" s="90"/>
      <c r="AB472" s="90"/>
      <c r="AC472" s="97" t="s">
        <v>1187</v>
      </c>
      <c r="AD472" s="90"/>
      <c r="AE472" s="90" t="b">
        <v>0</v>
      </c>
      <c r="AF472" s="90">
        <v>0</v>
      </c>
      <c r="AG472" s="97" t="s">
        <v>1338</v>
      </c>
      <c r="AH472" s="90" t="b">
        <v>1</v>
      </c>
      <c r="AI472" s="90" t="s">
        <v>1442</v>
      </c>
      <c r="AJ472" s="90"/>
      <c r="AK472" s="97" t="s">
        <v>1448</v>
      </c>
      <c r="AL472" s="90" t="b">
        <v>0</v>
      </c>
      <c r="AM472" s="90">
        <v>29</v>
      </c>
      <c r="AN472" s="97" t="s">
        <v>1218</v>
      </c>
      <c r="AO472" s="97" t="s">
        <v>1450</v>
      </c>
      <c r="AP472" s="90" t="b">
        <v>0</v>
      </c>
      <c r="AQ472" s="97" t="s">
        <v>1218</v>
      </c>
      <c r="AR472" s="90" t="s">
        <v>187</v>
      </c>
      <c r="AS472" s="90">
        <v>0</v>
      </c>
      <c r="AT472" s="90">
        <v>0</v>
      </c>
      <c r="AU472" s="90"/>
      <c r="AV472" s="90"/>
      <c r="AW472" s="90"/>
      <c r="AX472" s="90"/>
      <c r="AY472" s="90"/>
      <c r="AZ472" s="90"/>
      <c r="BA472" s="90"/>
      <c r="BB472" s="90"/>
      <c r="BC472">
        <v>1</v>
      </c>
      <c r="BD472" s="89" t="str">
        <f>REPLACE(INDEX(GroupVertices[Group],MATCH(Edges[[#This Row],[Vertex 1]],GroupVertices[Vertex],0)),1,1,"")</f>
        <v>4</v>
      </c>
      <c r="BE472" s="89" t="str">
        <f>REPLACE(INDEX(GroupVertices[Group],MATCH(Edges[[#This Row],[Vertex 2]],GroupVertices[Vertex],0)),1,1,"")</f>
        <v>1</v>
      </c>
      <c r="BF472" s="49">
        <v>0</v>
      </c>
      <c r="BG472" s="50">
        <v>0</v>
      </c>
      <c r="BH472" s="49">
        <v>0</v>
      </c>
      <c r="BI472" s="50">
        <v>0</v>
      </c>
      <c r="BJ472" s="49">
        <v>0</v>
      </c>
      <c r="BK472" s="50">
        <v>0</v>
      </c>
      <c r="BL472" s="49">
        <v>6</v>
      </c>
      <c r="BM472" s="50">
        <v>100</v>
      </c>
      <c r="BN472" s="49">
        <v>6</v>
      </c>
    </row>
    <row r="473" spans="1:66" ht="15">
      <c r="A473" s="65" t="s">
        <v>366</v>
      </c>
      <c r="B473" s="65" t="s">
        <v>447</v>
      </c>
      <c r="C473" s="66" t="s">
        <v>5817</v>
      </c>
      <c r="D473" s="67">
        <v>1</v>
      </c>
      <c r="E473" s="68" t="s">
        <v>132</v>
      </c>
      <c r="F473" s="69">
        <v>32</v>
      </c>
      <c r="G473" s="66" t="s">
        <v>51</v>
      </c>
      <c r="H473" s="70"/>
      <c r="I473" s="71"/>
      <c r="J473" s="71"/>
      <c r="K473" s="35" t="s">
        <v>65</v>
      </c>
      <c r="L473" s="79">
        <v>473</v>
      </c>
      <c r="M473" s="79"/>
      <c r="N473" s="73"/>
      <c r="O473" s="90" t="s">
        <v>524</v>
      </c>
      <c r="P473" s="93">
        <v>44526.347037037034</v>
      </c>
      <c r="Q473" s="90" t="s">
        <v>586</v>
      </c>
      <c r="R473" s="90"/>
      <c r="S473" s="90"/>
      <c r="T473" s="90"/>
      <c r="U473" s="90"/>
      <c r="V473" s="96" t="str">
        <f>HYPERLINK("https://pbs.twimg.com/profile_images/91787962/kf_normal.jpg")</f>
        <v>https://pbs.twimg.com/profile_images/91787962/kf_normal.jpg</v>
      </c>
      <c r="W473" s="93">
        <v>44526.347037037034</v>
      </c>
      <c r="X473" s="100">
        <v>44526</v>
      </c>
      <c r="Y473" s="97" t="s">
        <v>936</v>
      </c>
      <c r="Z473" s="96" t="str">
        <f>HYPERLINK("https://twitter.com/psivonen/status/1464146843869360134")</f>
        <v>https://twitter.com/psivonen/status/1464146843869360134</v>
      </c>
      <c r="AA473" s="90"/>
      <c r="AB473" s="90"/>
      <c r="AC473" s="97" t="s">
        <v>1188</v>
      </c>
      <c r="AD473" s="97" t="s">
        <v>1190</v>
      </c>
      <c r="AE473" s="90" t="b">
        <v>0</v>
      </c>
      <c r="AF473" s="90">
        <v>16</v>
      </c>
      <c r="AG473" s="97" t="s">
        <v>1427</v>
      </c>
      <c r="AH473" s="90" t="b">
        <v>0</v>
      </c>
      <c r="AI473" s="90" t="s">
        <v>1442</v>
      </c>
      <c r="AJ473" s="90"/>
      <c r="AK473" s="97" t="s">
        <v>1338</v>
      </c>
      <c r="AL473" s="90" t="b">
        <v>0</v>
      </c>
      <c r="AM473" s="90">
        <v>3</v>
      </c>
      <c r="AN473" s="97" t="s">
        <v>1338</v>
      </c>
      <c r="AO473" s="97" t="s">
        <v>1452</v>
      </c>
      <c r="AP473" s="90" t="b">
        <v>0</v>
      </c>
      <c r="AQ473" s="97" t="s">
        <v>1190</v>
      </c>
      <c r="AR473" s="90" t="s">
        <v>187</v>
      </c>
      <c r="AS473" s="90">
        <v>0</v>
      </c>
      <c r="AT473" s="90">
        <v>0</v>
      </c>
      <c r="AU473" s="90"/>
      <c r="AV473" s="90"/>
      <c r="AW473" s="90"/>
      <c r="AX473" s="90"/>
      <c r="AY473" s="90"/>
      <c r="AZ473" s="90"/>
      <c r="BA473" s="90"/>
      <c r="BB473" s="90"/>
      <c r="BC473">
        <v>1</v>
      </c>
      <c r="BD473" s="89" t="str">
        <f>REPLACE(INDEX(GroupVertices[Group],MATCH(Edges[[#This Row],[Vertex 1]],GroupVertices[Vertex],0)),1,1,"")</f>
        <v>3</v>
      </c>
      <c r="BE473" s="89" t="str">
        <f>REPLACE(INDEX(GroupVertices[Group],MATCH(Edges[[#This Row],[Vertex 2]],GroupVertices[Vertex],0)),1,1,"")</f>
        <v>3</v>
      </c>
      <c r="BF473" s="49"/>
      <c r="BG473" s="50"/>
      <c r="BH473" s="49"/>
      <c r="BI473" s="50"/>
      <c r="BJ473" s="49"/>
      <c r="BK473" s="50"/>
      <c r="BL473" s="49"/>
      <c r="BM473" s="50"/>
      <c r="BN473" s="49"/>
    </row>
    <row r="474" spans="1:66" ht="15">
      <c r="A474" s="65" t="s">
        <v>367</v>
      </c>
      <c r="B474" s="65" t="s">
        <v>447</v>
      </c>
      <c r="C474" s="66" t="s">
        <v>5817</v>
      </c>
      <c r="D474" s="67">
        <v>1</v>
      </c>
      <c r="E474" s="68" t="s">
        <v>132</v>
      </c>
      <c r="F474" s="69">
        <v>32</v>
      </c>
      <c r="G474" s="66" t="s">
        <v>51</v>
      </c>
      <c r="H474" s="70"/>
      <c r="I474" s="71"/>
      <c r="J474" s="71"/>
      <c r="K474" s="35" t="s">
        <v>65</v>
      </c>
      <c r="L474" s="79">
        <v>474</v>
      </c>
      <c r="M474" s="79"/>
      <c r="N474" s="73"/>
      <c r="O474" s="90" t="s">
        <v>525</v>
      </c>
      <c r="P474" s="93">
        <v>44526.35084490741</v>
      </c>
      <c r="Q474" s="90" t="s">
        <v>586</v>
      </c>
      <c r="R474" s="90"/>
      <c r="S474" s="90"/>
      <c r="T474" s="90"/>
      <c r="U474" s="90"/>
      <c r="V474" s="96" t="str">
        <f>HYPERLINK("https://pbs.twimg.com/profile_images/1465970962550214656/3RsuSP0L_normal.jpg")</f>
        <v>https://pbs.twimg.com/profile_images/1465970962550214656/3RsuSP0L_normal.jpg</v>
      </c>
      <c r="W474" s="93">
        <v>44526.35084490741</v>
      </c>
      <c r="X474" s="100">
        <v>44526</v>
      </c>
      <c r="Y474" s="97" t="s">
        <v>937</v>
      </c>
      <c r="Z474" s="96" t="str">
        <f>HYPERLINK("https://twitter.com/teetee63tee/status/1464148223111708672")</f>
        <v>https://twitter.com/teetee63tee/status/1464148223111708672</v>
      </c>
      <c r="AA474" s="90"/>
      <c r="AB474" s="90"/>
      <c r="AC474" s="97" t="s">
        <v>1189</v>
      </c>
      <c r="AD474" s="90"/>
      <c r="AE474" s="90" t="b">
        <v>0</v>
      </c>
      <c r="AF474" s="90">
        <v>0</v>
      </c>
      <c r="AG474" s="97" t="s">
        <v>1338</v>
      </c>
      <c r="AH474" s="90" t="b">
        <v>0</v>
      </c>
      <c r="AI474" s="90" t="s">
        <v>1442</v>
      </c>
      <c r="AJ474" s="90"/>
      <c r="AK474" s="97" t="s">
        <v>1338</v>
      </c>
      <c r="AL474" s="90" t="b">
        <v>0</v>
      </c>
      <c r="AM474" s="90">
        <v>3</v>
      </c>
      <c r="AN474" s="97" t="s">
        <v>1188</v>
      </c>
      <c r="AO474" s="97" t="s">
        <v>1450</v>
      </c>
      <c r="AP474" s="90" t="b">
        <v>0</v>
      </c>
      <c r="AQ474" s="97" t="s">
        <v>1188</v>
      </c>
      <c r="AR474" s="90" t="s">
        <v>187</v>
      </c>
      <c r="AS474" s="90">
        <v>0</v>
      </c>
      <c r="AT474" s="90">
        <v>0</v>
      </c>
      <c r="AU474" s="90"/>
      <c r="AV474" s="90"/>
      <c r="AW474" s="90"/>
      <c r="AX474" s="90"/>
      <c r="AY474" s="90"/>
      <c r="AZ474" s="90"/>
      <c r="BA474" s="90"/>
      <c r="BB474" s="90"/>
      <c r="BC474">
        <v>1</v>
      </c>
      <c r="BD474" s="89" t="str">
        <f>REPLACE(INDEX(GroupVertices[Group],MATCH(Edges[[#This Row],[Vertex 1]],GroupVertices[Vertex],0)),1,1,"")</f>
        <v>3</v>
      </c>
      <c r="BE474" s="89" t="str">
        <f>REPLACE(INDEX(GroupVertices[Group],MATCH(Edges[[#This Row],[Vertex 2]],GroupVertices[Vertex],0)),1,1,"")</f>
        <v>3</v>
      </c>
      <c r="BF474" s="49"/>
      <c r="BG474" s="50"/>
      <c r="BH474" s="49"/>
      <c r="BI474" s="50"/>
      <c r="BJ474" s="49"/>
      <c r="BK474" s="50"/>
      <c r="BL474" s="49"/>
      <c r="BM474" s="50"/>
      <c r="BN474" s="49"/>
    </row>
    <row r="475" spans="1:66" ht="15">
      <c r="A475" s="65" t="s">
        <v>366</v>
      </c>
      <c r="B475" s="65" t="s">
        <v>449</v>
      </c>
      <c r="C475" s="66" t="s">
        <v>5817</v>
      </c>
      <c r="D475" s="67">
        <v>1</v>
      </c>
      <c r="E475" s="68" t="s">
        <v>132</v>
      </c>
      <c r="F475" s="69">
        <v>32</v>
      </c>
      <c r="G475" s="66" t="s">
        <v>51</v>
      </c>
      <c r="H475" s="70"/>
      <c r="I475" s="71"/>
      <c r="J475" s="71"/>
      <c r="K475" s="35" t="s">
        <v>65</v>
      </c>
      <c r="L475" s="79">
        <v>475</v>
      </c>
      <c r="M475" s="79"/>
      <c r="N475" s="73"/>
      <c r="O475" s="90" t="s">
        <v>524</v>
      </c>
      <c r="P475" s="93">
        <v>44526.347037037034</v>
      </c>
      <c r="Q475" s="90" t="s">
        <v>586</v>
      </c>
      <c r="R475" s="90"/>
      <c r="S475" s="90"/>
      <c r="T475" s="90"/>
      <c r="U475" s="90"/>
      <c r="V475" s="96" t="str">
        <f>HYPERLINK("https://pbs.twimg.com/profile_images/91787962/kf_normal.jpg")</f>
        <v>https://pbs.twimg.com/profile_images/91787962/kf_normal.jpg</v>
      </c>
      <c r="W475" s="93">
        <v>44526.347037037034</v>
      </c>
      <c r="X475" s="100">
        <v>44526</v>
      </c>
      <c r="Y475" s="97" t="s">
        <v>936</v>
      </c>
      <c r="Z475" s="96" t="str">
        <f>HYPERLINK("https://twitter.com/psivonen/status/1464146843869360134")</f>
        <v>https://twitter.com/psivonen/status/1464146843869360134</v>
      </c>
      <c r="AA475" s="90"/>
      <c r="AB475" s="90"/>
      <c r="AC475" s="97" t="s">
        <v>1188</v>
      </c>
      <c r="AD475" s="97" t="s">
        <v>1190</v>
      </c>
      <c r="AE475" s="90" t="b">
        <v>0</v>
      </c>
      <c r="AF475" s="90">
        <v>16</v>
      </c>
      <c r="AG475" s="97" t="s">
        <v>1427</v>
      </c>
      <c r="AH475" s="90" t="b">
        <v>0</v>
      </c>
      <c r="AI475" s="90" t="s">
        <v>1442</v>
      </c>
      <c r="AJ475" s="90"/>
      <c r="AK475" s="97" t="s">
        <v>1338</v>
      </c>
      <c r="AL475" s="90" t="b">
        <v>0</v>
      </c>
      <c r="AM475" s="90">
        <v>3</v>
      </c>
      <c r="AN475" s="97" t="s">
        <v>1338</v>
      </c>
      <c r="AO475" s="97" t="s">
        <v>1452</v>
      </c>
      <c r="AP475" s="90" t="b">
        <v>0</v>
      </c>
      <c r="AQ475" s="97" t="s">
        <v>1190</v>
      </c>
      <c r="AR475" s="90" t="s">
        <v>187</v>
      </c>
      <c r="AS475" s="90">
        <v>0</v>
      </c>
      <c r="AT475" s="90">
        <v>0</v>
      </c>
      <c r="AU475" s="90"/>
      <c r="AV475" s="90"/>
      <c r="AW475" s="90"/>
      <c r="AX475" s="90"/>
      <c r="AY475" s="90"/>
      <c r="AZ475" s="90"/>
      <c r="BA475" s="90"/>
      <c r="BB475" s="90"/>
      <c r="BC475">
        <v>1</v>
      </c>
      <c r="BD475" s="89" t="str">
        <f>REPLACE(INDEX(GroupVertices[Group],MATCH(Edges[[#This Row],[Vertex 1]],GroupVertices[Vertex],0)),1,1,"")</f>
        <v>3</v>
      </c>
      <c r="BE475" s="89" t="str">
        <f>REPLACE(INDEX(GroupVertices[Group],MATCH(Edges[[#This Row],[Vertex 2]],GroupVertices[Vertex],0)),1,1,"")</f>
        <v>3</v>
      </c>
      <c r="BF475" s="49"/>
      <c r="BG475" s="50"/>
      <c r="BH475" s="49"/>
      <c r="BI475" s="50"/>
      <c r="BJ475" s="49"/>
      <c r="BK475" s="50"/>
      <c r="BL475" s="49"/>
      <c r="BM475" s="50"/>
      <c r="BN475" s="49"/>
    </row>
    <row r="476" spans="1:66" ht="15">
      <c r="A476" s="65" t="s">
        <v>367</v>
      </c>
      <c r="B476" s="65" t="s">
        <v>449</v>
      </c>
      <c r="C476" s="66" t="s">
        <v>5817</v>
      </c>
      <c r="D476" s="67">
        <v>1</v>
      </c>
      <c r="E476" s="68" t="s">
        <v>132</v>
      </c>
      <c r="F476" s="69">
        <v>32</v>
      </c>
      <c r="G476" s="66" t="s">
        <v>51</v>
      </c>
      <c r="H476" s="70"/>
      <c r="I476" s="71"/>
      <c r="J476" s="71"/>
      <c r="K476" s="35" t="s">
        <v>65</v>
      </c>
      <c r="L476" s="79">
        <v>476</v>
      </c>
      <c r="M476" s="79"/>
      <c r="N476" s="73"/>
      <c r="O476" s="90" t="s">
        <v>525</v>
      </c>
      <c r="P476" s="93">
        <v>44526.35084490741</v>
      </c>
      <c r="Q476" s="90" t="s">
        <v>586</v>
      </c>
      <c r="R476" s="90"/>
      <c r="S476" s="90"/>
      <c r="T476" s="90"/>
      <c r="U476" s="90"/>
      <c r="V476" s="96" t="str">
        <f>HYPERLINK("https://pbs.twimg.com/profile_images/1465970962550214656/3RsuSP0L_normal.jpg")</f>
        <v>https://pbs.twimg.com/profile_images/1465970962550214656/3RsuSP0L_normal.jpg</v>
      </c>
      <c r="W476" s="93">
        <v>44526.35084490741</v>
      </c>
      <c r="X476" s="100">
        <v>44526</v>
      </c>
      <c r="Y476" s="97" t="s">
        <v>937</v>
      </c>
      <c r="Z476" s="96" t="str">
        <f>HYPERLINK("https://twitter.com/teetee63tee/status/1464148223111708672")</f>
        <v>https://twitter.com/teetee63tee/status/1464148223111708672</v>
      </c>
      <c r="AA476" s="90"/>
      <c r="AB476" s="90"/>
      <c r="AC476" s="97" t="s">
        <v>1189</v>
      </c>
      <c r="AD476" s="90"/>
      <c r="AE476" s="90" t="b">
        <v>0</v>
      </c>
      <c r="AF476" s="90">
        <v>0</v>
      </c>
      <c r="AG476" s="97" t="s">
        <v>1338</v>
      </c>
      <c r="AH476" s="90" t="b">
        <v>0</v>
      </c>
      <c r="AI476" s="90" t="s">
        <v>1442</v>
      </c>
      <c r="AJ476" s="90"/>
      <c r="AK476" s="97" t="s">
        <v>1338</v>
      </c>
      <c r="AL476" s="90" t="b">
        <v>0</v>
      </c>
      <c r="AM476" s="90">
        <v>3</v>
      </c>
      <c r="AN476" s="97" t="s">
        <v>1188</v>
      </c>
      <c r="AO476" s="97" t="s">
        <v>1450</v>
      </c>
      <c r="AP476" s="90" t="b">
        <v>0</v>
      </c>
      <c r="AQ476" s="97" t="s">
        <v>1188</v>
      </c>
      <c r="AR476" s="90" t="s">
        <v>187</v>
      </c>
      <c r="AS476" s="90">
        <v>0</v>
      </c>
      <c r="AT476" s="90">
        <v>0</v>
      </c>
      <c r="AU476" s="90"/>
      <c r="AV476" s="90"/>
      <c r="AW476" s="90"/>
      <c r="AX476" s="90"/>
      <c r="AY476" s="90"/>
      <c r="AZ476" s="90"/>
      <c r="BA476" s="90"/>
      <c r="BB476" s="90"/>
      <c r="BC476">
        <v>1</v>
      </c>
      <c r="BD476" s="89" t="str">
        <f>REPLACE(INDEX(GroupVertices[Group],MATCH(Edges[[#This Row],[Vertex 1]],GroupVertices[Vertex],0)),1,1,"")</f>
        <v>3</v>
      </c>
      <c r="BE476" s="89" t="str">
        <f>REPLACE(INDEX(GroupVertices[Group],MATCH(Edges[[#This Row],[Vertex 2]],GroupVertices[Vertex],0)),1,1,"")</f>
        <v>3</v>
      </c>
      <c r="BF476" s="49"/>
      <c r="BG476" s="50"/>
      <c r="BH476" s="49"/>
      <c r="BI476" s="50"/>
      <c r="BJ476" s="49"/>
      <c r="BK476" s="50"/>
      <c r="BL476" s="49"/>
      <c r="BM476" s="50"/>
      <c r="BN476" s="49"/>
    </row>
    <row r="477" spans="1:66" ht="15">
      <c r="A477" s="65" t="s">
        <v>366</v>
      </c>
      <c r="B477" s="65" t="s">
        <v>450</v>
      </c>
      <c r="C477" s="66" t="s">
        <v>5818</v>
      </c>
      <c r="D477" s="67">
        <v>1</v>
      </c>
      <c r="E477" s="68" t="s">
        <v>132</v>
      </c>
      <c r="F477" s="69">
        <v>32</v>
      </c>
      <c r="G477" s="66" t="s">
        <v>51</v>
      </c>
      <c r="H477" s="70"/>
      <c r="I477" s="71"/>
      <c r="J477" s="71"/>
      <c r="K477" s="35" t="s">
        <v>65</v>
      </c>
      <c r="L477" s="79">
        <v>477</v>
      </c>
      <c r="M477" s="79"/>
      <c r="N477" s="73"/>
      <c r="O477" s="90" t="s">
        <v>523</v>
      </c>
      <c r="P477" s="93">
        <v>44526.34496527778</v>
      </c>
      <c r="Q477" s="90" t="s">
        <v>670</v>
      </c>
      <c r="R477" s="96" t="str">
        <f>HYPERLINK("https://www.thegatewaypundit.com/2021/11/now-365-studies-prove-efficacy-ivermectin-hcq-treating-covid-19-will-anyone-confront-fauci-medical-elites-deception/")</f>
        <v>https://www.thegatewaypundit.com/2021/11/now-365-studies-prove-efficacy-ivermectin-hcq-treating-covid-19-will-anyone-confront-fauci-medical-elites-deception/</v>
      </c>
      <c r="S477" s="90" t="s">
        <v>710</v>
      </c>
      <c r="T477" s="90"/>
      <c r="U477" s="90"/>
      <c r="V477" s="96" t="str">
        <f>HYPERLINK("https://pbs.twimg.com/profile_images/91787962/kf_normal.jpg")</f>
        <v>https://pbs.twimg.com/profile_images/91787962/kf_normal.jpg</v>
      </c>
      <c r="W477" s="93">
        <v>44526.34496527778</v>
      </c>
      <c r="X477" s="100">
        <v>44526</v>
      </c>
      <c r="Y477" s="97" t="s">
        <v>938</v>
      </c>
      <c r="Z477" s="96" t="str">
        <f>HYPERLINK("https://twitter.com/psivonen/status/1464146093567008784")</f>
        <v>https://twitter.com/psivonen/status/1464146093567008784</v>
      </c>
      <c r="AA477" s="90"/>
      <c r="AB477" s="90"/>
      <c r="AC477" s="97" t="s">
        <v>1190</v>
      </c>
      <c r="AD477" s="97" t="s">
        <v>1320</v>
      </c>
      <c r="AE477" s="90" t="b">
        <v>0</v>
      </c>
      <c r="AF477" s="90">
        <v>1</v>
      </c>
      <c r="AG477" s="97" t="s">
        <v>1428</v>
      </c>
      <c r="AH477" s="90" t="b">
        <v>0</v>
      </c>
      <c r="AI477" s="90" t="s">
        <v>1442</v>
      </c>
      <c r="AJ477" s="90"/>
      <c r="AK477" s="97" t="s">
        <v>1338</v>
      </c>
      <c r="AL477" s="90" t="b">
        <v>0</v>
      </c>
      <c r="AM477" s="90">
        <v>1</v>
      </c>
      <c r="AN477" s="97" t="s">
        <v>1338</v>
      </c>
      <c r="AO477" s="97" t="s">
        <v>1452</v>
      </c>
      <c r="AP477" s="90" t="b">
        <v>0</v>
      </c>
      <c r="AQ477" s="97" t="s">
        <v>1320</v>
      </c>
      <c r="AR477" s="90" t="s">
        <v>187</v>
      </c>
      <c r="AS477" s="90">
        <v>0</v>
      </c>
      <c r="AT477" s="90">
        <v>0</v>
      </c>
      <c r="AU477" s="90"/>
      <c r="AV477" s="90"/>
      <c r="AW477" s="90"/>
      <c r="AX477" s="90"/>
      <c r="AY477" s="90"/>
      <c r="AZ477" s="90"/>
      <c r="BA477" s="90"/>
      <c r="BB477" s="90"/>
      <c r="BC477">
        <v>2</v>
      </c>
      <c r="BD477" s="89" t="str">
        <f>REPLACE(INDEX(GroupVertices[Group],MATCH(Edges[[#This Row],[Vertex 1]],GroupVertices[Vertex],0)),1,1,"")</f>
        <v>3</v>
      </c>
      <c r="BE477" s="89" t="str">
        <f>REPLACE(INDEX(GroupVertices[Group],MATCH(Edges[[#This Row],[Vertex 2]],GroupVertices[Vertex],0)),1,1,"")</f>
        <v>3</v>
      </c>
      <c r="BF477" s="49">
        <v>0</v>
      </c>
      <c r="BG477" s="50">
        <v>0</v>
      </c>
      <c r="BH477" s="49">
        <v>1</v>
      </c>
      <c r="BI477" s="50">
        <v>2.857142857142857</v>
      </c>
      <c r="BJ477" s="49">
        <v>0</v>
      </c>
      <c r="BK477" s="50">
        <v>0</v>
      </c>
      <c r="BL477" s="49">
        <v>34</v>
      </c>
      <c r="BM477" s="50">
        <v>97.14285714285714</v>
      </c>
      <c r="BN477" s="49">
        <v>35</v>
      </c>
    </row>
    <row r="478" spans="1:66" ht="15">
      <c r="A478" s="65" t="s">
        <v>366</v>
      </c>
      <c r="B478" s="65" t="s">
        <v>448</v>
      </c>
      <c r="C478" s="66" t="s">
        <v>5817</v>
      </c>
      <c r="D478" s="67">
        <v>1</v>
      </c>
      <c r="E478" s="68" t="s">
        <v>132</v>
      </c>
      <c r="F478" s="69">
        <v>32</v>
      </c>
      <c r="G478" s="66" t="s">
        <v>51</v>
      </c>
      <c r="H478" s="70"/>
      <c r="I478" s="71"/>
      <c r="J478" s="71"/>
      <c r="K478" s="35" t="s">
        <v>65</v>
      </c>
      <c r="L478" s="79">
        <v>478</v>
      </c>
      <c r="M478" s="79"/>
      <c r="N478" s="73"/>
      <c r="O478" s="90" t="s">
        <v>524</v>
      </c>
      <c r="P478" s="93">
        <v>44526.347037037034</v>
      </c>
      <c r="Q478" s="90" t="s">
        <v>586</v>
      </c>
      <c r="R478" s="90"/>
      <c r="S478" s="90"/>
      <c r="T478" s="90"/>
      <c r="U478" s="90"/>
      <c r="V478" s="96" t="str">
        <f>HYPERLINK("https://pbs.twimg.com/profile_images/91787962/kf_normal.jpg")</f>
        <v>https://pbs.twimg.com/profile_images/91787962/kf_normal.jpg</v>
      </c>
      <c r="W478" s="93">
        <v>44526.347037037034</v>
      </c>
      <c r="X478" s="100">
        <v>44526</v>
      </c>
      <c r="Y478" s="97" t="s">
        <v>936</v>
      </c>
      <c r="Z478" s="96" t="str">
        <f>HYPERLINK("https://twitter.com/psivonen/status/1464146843869360134")</f>
        <v>https://twitter.com/psivonen/status/1464146843869360134</v>
      </c>
      <c r="AA478" s="90"/>
      <c r="AB478" s="90"/>
      <c r="AC478" s="97" t="s">
        <v>1188</v>
      </c>
      <c r="AD478" s="97" t="s">
        <v>1190</v>
      </c>
      <c r="AE478" s="90" t="b">
        <v>0</v>
      </c>
      <c r="AF478" s="90">
        <v>16</v>
      </c>
      <c r="AG478" s="97" t="s">
        <v>1427</v>
      </c>
      <c r="AH478" s="90" t="b">
        <v>0</v>
      </c>
      <c r="AI478" s="90" t="s">
        <v>1442</v>
      </c>
      <c r="AJ478" s="90"/>
      <c r="AK478" s="97" t="s">
        <v>1338</v>
      </c>
      <c r="AL478" s="90" t="b">
        <v>0</v>
      </c>
      <c r="AM478" s="90">
        <v>3</v>
      </c>
      <c r="AN478" s="97" t="s">
        <v>1338</v>
      </c>
      <c r="AO478" s="97" t="s">
        <v>1452</v>
      </c>
      <c r="AP478" s="90" t="b">
        <v>0</v>
      </c>
      <c r="AQ478" s="97" t="s">
        <v>1190</v>
      </c>
      <c r="AR478" s="90" t="s">
        <v>187</v>
      </c>
      <c r="AS478" s="90">
        <v>0</v>
      </c>
      <c r="AT478" s="90">
        <v>0</v>
      </c>
      <c r="AU478" s="90"/>
      <c r="AV478" s="90"/>
      <c r="AW478" s="90"/>
      <c r="AX478" s="90"/>
      <c r="AY478" s="90"/>
      <c r="AZ478" s="90"/>
      <c r="BA478" s="90"/>
      <c r="BB478" s="90"/>
      <c r="BC478">
        <v>1</v>
      </c>
      <c r="BD478" s="89" t="str">
        <f>REPLACE(INDEX(GroupVertices[Group],MATCH(Edges[[#This Row],[Vertex 1]],GroupVertices[Vertex],0)),1,1,"")</f>
        <v>3</v>
      </c>
      <c r="BE478" s="89" t="str">
        <f>REPLACE(INDEX(GroupVertices[Group],MATCH(Edges[[#This Row],[Vertex 2]],GroupVertices[Vertex],0)),1,1,"")</f>
        <v>3</v>
      </c>
      <c r="BF478" s="49"/>
      <c r="BG478" s="50"/>
      <c r="BH478" s="49"/>
      <c r="BI478" s="50"/>
      <c r="BJ478" s="49"/>
      <c r="BK478" s="50"/>
      <c r="BL478" s="49"/>
      <c r="BM478" s="50"/>
      <c r="BN478" s="49"/>
    </row>
    <row r="479" spans="1:66" ht="15">
      <c r="A479" s="65" t="s">
        <v>366</v>
      </c>
      <c r="B479" s="65" t="s">
        <v>450</v>
      </c>
      <c r="C479" s="66" t="s">
        <v>5818</v>
      </c>
      <c r="D479" s="67">
        <v>1</v>
      </c>
      <c r="E479" s="68" t="s">
        <v>132</v>
      </c>
      <c r="F479" s="69">
        <v>32</v>
      </c>
      <c r="G479" s="66" t="s">
        <v>51</v>
      </c>
      <c r="H479" s="70"/>
      <c r="I479" s="71"/>
      <c r="J479" s="71"/>
      <c r="K479" s="35" t="s">
        <v>65</v>
      </c>
      <c r="L479" s="79">
        <v>479</v>
      </c>
      <c r="M479" s="79"/>
      <c r="N479" s="73"/>
      <c r="O479" s="90" t="s">
        <v>523</v>
      </c>
      <c r="P479" s="93">
        <v>44526.347037037034</v>
      </c>
      <c r="Q479" s="90" t="s">
        <v>586</v>
      </c>
      <c r="R479" s="90"/>
      <c r="S479" s="90"/>
      <c r="T479" s="90"/>
      <c r="U479" s="90"/>
      <c r="V479" s="96" t="str">
        <f>HYPERLINK("https://pbs.twimg.com/profile_images/91787962/kf_normal.jpg")</f>
        <v>https://pbs.twimg.com/profile_images/91787962/kf_normal.jpg</v>
      </c>
      <c r="W479" s="93">
        <v>44526.347037037034</v>
      </c>
      <c r="X479" s="100">
        <v>44526</v>
      </c>
      <c r="Y479" s="97" t="s">
        <v>936</v>
      </c>
      <c r="Z479" s="96" t="str">
        <f>HYPERLINK("https://twitter.com/psivonen/status/1464146843869360134")</f>
        <v>https://twitter.com/psivonen/status/1464146843869360134</v>
      </c>
      <c r="AA479" s="90"/>
      <c r="AB479" s="90"/>
      <c r="AC479" s="97" t="s">
        <v>1188</v>
      </c>
      <c r="AD479" s="97" t="s">
        <v>1190</v>
      </c>
      <c r="AE479" s="90" t="b">
        <v>0</v>
      </c>
      <c r="AF479" s="90">
        <v>16</v>
      </c>
      <c r="AG479" s="97" t="s">
        <v>1427</v>
      </c>
      <c r="AH479" s="90" t="b">
        <v>0</v>
      </c>
      <c r="AI479" s="90" t="s">
        <v>1442</v>
      </c>
      <c r="AJ479" s="90"/>
      <c r="AK479" s="97" t="s">
        <v>1338</v>
      </c>
      <c r="AL479" s="90" t="b">
        <v>0</v>
      </c>
      <c r="AM479" s="90">
        <v>3</v>
      </c>
      <c r="AN479" s="97" t="s">
        <v>1338</v>
      </c>
      <c r="AO479" s="97" t="s">
        <v>1452</v>
      </c>
      <c r="AP479" s="90" t="b">
        <v>0</v>
      </c>
      <c r="AQ479" s="97" t="s">
        <v>1190</v>
      </c>
      <c r="AR479" s="90" t="s">
        <v>187</v>
      </c>
      <c r="AS479" s="90">
        <v>0</v>
      </c>
      <c r="AT479" s="90">
        <v>0</v>
      </c>
      <c r="AU479" s="90"/>
      <c r="AV479" s="90"/>
      <c r="AW479" s="90"/>
      <c r="AX479" s="90"/>
      <c r="AY479" s="90"/>
      <c r="AZ479" s="90"/>
      <c r="BA479" s="90"/>
      <c r="BB479" s="90"/>
      <c r="BC479">
        <v>2</v>
      </c>
      <c r="BD479" s="89" t="str">
        <f>REPLACE(INDEX(GroupVertices[Group],MATCH(Edges[[#This Row],[Vertex 1]],GroupVertices[Vertex],0)),1,1,"")</f>
        <v>3</v>
      </c>
      <c r="BE479" s="89" t="str">
        <f>REPLACE(INDEX(GroupVertices[Group],MATCH(Edges[[#This Row],[Vertex 2]],GroupVertices[Vertex],0)),1,1,"")</f>
        <v>3</v>
      </c>
      <c r="BF479" s="49">
        <v>0</v>
      </c>
      <c r="BG479" s="50">
        <v>0</v>
      </c>
      <c r="BH479" s="49">
        <v>1</v>
      </c>
      <c r="BI479" s="50">
        <v>3.7037037037037037</v>
      </c>
      <c r="BJ479" s="49">
        <v>0</v>
      </c>
      <c r="BK479" s="50">
        <v>0</v>
      </c>
      <c r="BL479" s="49">
        <v>26</v>
      </c>
      <c r="BM479" s="50">
        <v>96.29629629629629</v>
      </c>
      <c r="BN479" s="49">
        <v>27</v>
      </c>
    </row>
    <row r="480" spans="1:66" ht="15">
      <c r="A480" s="65" t="s">
        <v>367</v>
      </c>
      <c r="B480" s="65" t="s">
        <v>366</v>
      </c>
      <c r="C480" s="66" t="s">
        <v>5818</v>
      </c>
      <c r="D480" s="67">
        <v>1</v>
      </c>
      <c r="E480" s="68" t="s">
        <v>132</v>
      </c>
      <c r="F480" s="69">
        <v>32</v>
      </c>
      <c r="G480" s="66" t="s">
        <v>51</v>
      </c>
      <c r="H480" s="70"/>
      <c r="I480" s="71"/>
      <c r="J480" s="71"/>
      <c r="K480" s="35" t="s">
        <v>65</v>
      </c>
      <c r="L480" s="79">
        <v>480</v>
      </c>
      <c r="M480" s="79"/>
      <c r="N480" s="73"/>
      <c r="O480" s="90" t="s">
        <v>522</v>
      </c>
      <c r="P480" s="93">
        <v>44526.35078703704</v>
      </c>
      <c r="Q480" s="90" t="s">
        <v>670</v>
      </c>
      <c r="R480" s="96" t="str">
        <f>HYPERLINK("https://www.thegatewaypundit.com/2021/11/now-365-studies-prove-efficacy-ivermectin-hcq-treating-covid-19-will-anyone-confront-fauci-medical-elites-deception/")</f>
        <v>https://www.thegatewaypundit.com/2021/11/now-365-studies-prove-efficacy-ivermectin-hcq-treating-covid-19-will-anyone-confront-fauci-medical-elites-deception/</v>
      </c>
      <c r="S480" s="90" t="s">
        <v>710</v>
      </c>
      <c r="T480" s="90"/>
      <c r="U480" s="90"/>
      <c r="V480" s="96" t="str">
        <f>HYPERLINK("https://pbs.twimg.com/profile_images/1465970962550214656/3RsuSP0L_normal.jpg")</f>
        <v>https://pbs.twimg.com/profile_images/1465970962550214656/3RsuSP0L_normal.jpg</v>
      </c>
      <c r="W480" s="93">
        <v>44526.35078703704</v>
      </c>
      <c r="X480" s="100">
        <v>44526</v>
      </c>
      <c r="Y480" s="97" t="s">
        <v>939</v>
      </c>
      <c r="Z480" s="96" t="str">
        <f>HYPERLINK("https://twitter.com/teetee63tee/status/1464148203759095808")</f>
        <v>https://twitter.com/teetee63tee/status/1464148203759095808</v>
      </c>
      <c r="AA480" s="90"/>
      <c r="AB480" s="90"/>
      <c r="AC480" s="97" t="s">
        <v>1191</v>
      </c>
      <c r="AD480" s="90"/>
      <c r="AE480" s="90" t="b">
        <v>0</v>
      </c>
      <c r="AF480" s="90">
        <v>0</v>
      </c>
      <c r="AG480" s="97" t="s">
        <v>1338</v>
      </c>
      <c r="AH480" s="90" t="b">
        <v>0</v>
      </c>
      <c r="AI480" s="90" t="s">
        <v>1442</v>
      </c>
      <c r="AJ480" s="90"/>
      <c r="AK480" s="97" t="s">
        <v>1338</v>
      </c>
      <c r="AL480" s="90" t="b">
        <v>0</v>
      </c>
      <c r="AM480" s="90">
        <v>1</v>
      </c>
      <c r="AN480" s="97" t="s">
        <v>1190</v>
      </c>
      <c r="AO480" s="97" t="s">
        <v>1450</v>
      </c>
      <c r="AP480" s="90" t="b">
        <v>0</v>
      </c>
      <c r="AQ480" s="97" t="s">
        <v>1190</v>
      </c>
      <c r="AR480" s="90" t="s">
        <v>187</v>
      </c>
      <c r="AS480" s="90">
        <v>0</v>
      </c>
      <c r="AT480" s="90">
        <v>0</v>
      </c>
      <c r="AU480" s="90"/>
      <c r="AV480" s="90"/>
      <c r="AW480" s="90"/>
      <c r="AX480" s="90"/>
      <c r="AY480" s="90"/>
      <c r="AZ480" s="90"/>
      <c r="BA480" s="90"/>
      <c r="BB480" s="90"/>
      <c r="BC480">
        <v>2</v>
      </c>
      <c r="BD480" s="89" t="str">
        <f>REPLACE(INDEX(GroupVertices[Group],MATCH(Edges[[#This Row],[Vertex 1]],GroupVertices[Vertex],0)),1,1,"")</f>
        <v>3</v>
      </c>
      <c r="BE480" s="89" t="str">
        <f>REPLACE(INDEX(GroupVertices[Group],MATCH(Edges[[#This Row],[Vertex 2]],GroupVertices[Vertex],0)),1,1,"")</f>
        <v>3</v>
      </c>
      <c r="BF480" s="49"/>
      <c r="BG480" s="50"/>
      <c r="BH480" s="49"/>
      <c r="BI480" s="50"/>
      <c r="BJ480" s="49"/>
      <c r="BK480" s="50"/>
      <c r="BL480" s="49"/>
      <c r="BM480" s="50"/>
      <c r="BN480" s="49"/>
    </row>
    <row r="481" spans="1:66" ht="15">
      <c r="A481" s="65" t="s">
        <v>367</v>
      </c>
      <c r="B481" s="65" t="s">
        <v>366</v>
      </c>
      <c r="C481" s="66" t="s">
        <v>5818</v>
      </c>
      <c r="D481" s="67">
        <v>1</v>
      </c>
      <c r="E481" s="68" t="s">
        <v>132</v>
      </c>
      <c r="F481" s="69">
        <v>32</v>
      </c>
      <c r="G481" s="66" t="s">
        <v>51</v>
      </c>
      <c r="H481" s="70"/>
      <c r="I481" s="71"/>
      <c r="J481" s="71"/>
      <c r="K481" s="35" t="s">
        <v>65</v>
      </c>
      <c r="L481" s="79">
        <v>481</v>
      </c>
      <c r="M481" s="79"/>
      <c r="N481" s="73"/>
      <c r="O481" s="90" t="s">
        <v>522</v>
      </c>
      <c r="P481" s="93">
        <v>44526.35084490741</v>
      </c>
      <c r="Q481" s="90" t="s">
        <v>586</v>
      </c>
      <c r="R481" s="90"/>
      <c r="S481" s="90"/>
      <c r="T481" s="90"/>
      <c r="U481" s="90"/>
      <c r="V481" s="96" t="str">
        <f>HYPERLINK("https://pbs.twimg.com/profile_images/1465970962550214656/3RsuSP0L_normal.jpg")</f>
        <v>https://pbs.twimg.com/profile_images/1465970962550214656/3RsuSP0L_normal.jpg</v>
      </c>
      <c r="W481" s="93">
        <v>44526.35084490741</v>
      </c>
      <c r="X481" s="100">
        <v>44526</v>
      </c>
      <c r="Y481" s="97" t="s">
        <v>937</v>
      </c>
      <c r="Z481" s="96" t="str">
        <f>HYPERLINK("https://twitter.com/teetee63tee/status/1464148223111708672")</f>
        <v>https://twitter.com/teetee63tee/status/1464148223111708672</v>
      </c>
      <c r="AA481" s="90"/>
      <c r="AB481" s="90"/>
      <c r="AC481" s="97" t="s">
        <v>1189</v>
      </c>
      <c r="AD481" s="90"/>
      <c r="AE481" s="90" t="b">
        <v>0</v>
      </c>
      <c r="AF481" s="90">
        <v>0</v>
      </c>
      <c r="AG481" s="97" t="s">
        <v>1338</v>
      </c>
      <c r="AH481" s="90" t="b">
        <v>0</v>
      </c>
      <c r="AI481" s="90" t="s">
        <v>1442</v>
      </c>
      <c r="AJ481" s="90"/>
      <c r="AK481" s="97" t="s">
        <v>1338</v>
      </c>
      <c r="AL481" s="90" t="b">
        <v>0</v>
      </c>
      <c r="AM481" s="90">
        <v>3</v>
      </c>
      <c r="AN481" s="97" t="s">
        <v>1188</v>
      </c>
      <c r="AO481" s="97" t="s">
        <v>1450</v>
      </c>
      <c r="AP481" s="90" t="b">
        <v>0</v>
      </c>
      <c r="AQ481" s="97" t="s">
        <v>1188</v>
      </c>
      <c r="AR481" s="90" t="s">
        <v>187</v>
      </c>
      <c r="AS481" s="90">
        <v>0</v>
      </c>
      <c r="AT481" s="90">
        <v>0</v>
      </c>
      <c r="AU481" s="90"/>
      <c r="AV481" s="90"/>
      <c r="AW481" s="90"/>
      <c r="AX481" s="90"/>
      <c r="AY481" s="90"/>
      <c r="AZ481" s="90"/>
      <c r="BA481" s="90"/>
      <c r="BB481" s="90"/>
      <c r="BC481">
        <v>2</v>
      </c>
      <c r="BD481" s="89" t="str">
        <f>REPLACE(INDEX(GroupVertices[Group],MATCH(Edges[[#This Row],[Vertex 1]],GroupVertices[Vertex],0)),1,1,"")</f>
        <v>3</v>
      </c>
      <c r="BE481" s="89" t="str">
        <f>REPLACE(INDEX(GroupVertices[Group],MATCH(Edges[[#This Row],[Vertex 2]],GroupVertices[Vertex],0)),1,1,"")</f>
        <v>3</v>
      </c>
      <c r="BF481" s="49"/>
      <c r="BG481" s="50"/>
      <c r="BH481" s="49"/>
      <c r="BI481" s="50"/>
      <c r="BJ481" s="49"/>
      <c r="BK481" s="50"/>
      <c r="BL481" s="49"/>
      <c r="BM481" s="50"/>
      <c r="BN481" s="49"/>
    </row>
    <row r="482" spans="1:66" ht="15">
      <c r="A482" s="65" t="s">
        <v>367</v>
      </c>
      <c r="B482" s="65" t="s">
        <v>450</v>
      </c>
      <c r="C482" s="66" t="s">
        <v>5818</v>
      </c>
      <c r="D482" s="67">
        <v>1</v>
      </c>
      <c r="E482" s="68" t="s">
        <v>132</v>
      </c>
      <c r="F482" s="69">
        <v>32</v>
      </c>
      <c r="G482" s="66" t="s">
        <v>51</v>
      </c>
      <c r="H482" s="70"/>
      <c r="I482" s="71"/>
      <c r="J482" s="71"/>
      <c r="K482" s="35" t="s">
        <v>65</v>
      </c>
      <c r="L482" s="79">
        <v>482</v>
      </c>
      <c r="M482" s="79"/>
      <c r="N482" s="73"/>
      <c r="O482" s="90" t="s">
        <v>523</v>
      </c>
      <c r="P482" s="93">
        <v>44526.35078703704</v>
      </c>
      <c r="Q482" s="90" t="s">
        <v>670</v>
      </c>
      <c r="R482" s="96" t="str">
        <f>HYPERLINK("https://www.thegatewaypundit.com/2021/11/now-365-studies-prove-efficacy-ivermectin-hcq-treating-covid-19-will-anyone-confront-fauci-medical-elites-deception/")</f>
        <v>https://www.thegatewaypundit.com/2021/11/now-365-studies-prove-efficacy-ivermectin-hcq-treating-covid-19-will-anyone-confront-fauci-medical-elites-deception/</v>
      </c>
      <c r="S482" s="90" t="s">
        <v>710</v>
      </c>
      <c r="T482" s="90"/>
      <c r="U482" s="90"/>
      <c r="V482" s="96" t="str">
        <f>HYPERLINK("https://pbs.twimg.com/profile_images/1465970962550214656/3RsuSP0L_normal.jpg")</f>
        <v>https://pbs.twimg.com/profile_images/1465970962550214656/3RsuSP0L_normal.jpg</v>
      </c>
      <c r="W482" s="93">
        <v>44526.35078703704</v>
      </c>
      <c r="X482" s="100">
        <v>44526</v>
      </c>
      <c r="Y482" s="97" t="s">
        <v>939</v>
      </c>
      <c r="Z482" s="96" t="str">
        <f>HYPERLINK("https://twitter.com/teetee63tee/status/1464148203759095808")</f>
        <v>https://twitter.com/teetee63tee/status/1464148203759095808</v>
      </c>
      <c r="AA482" s="90"/>
      <c r="AB482" s="90"/>
      <c r="AC482" s="97" t="s">
        <v>1191</v>
      </c>
      <c r="AD482" s="90"/>
      <c r="AE482" s="90" t="b">
        <v>0</v>
      </c>
      <c r="AF482" s="90">
        <v>0</v>
      </c>
      <c r="AG482" s="97" t="s">
        <v>1338</v>
      </c>
      <c r="AH482" s="90" t="b">
        <v>0</v>
      </c>
      <c r="AI482" s="90" t="s">
        <v>1442</v>
      </c>
      <c r="AJ482" s="90"/>
      <c r="AK482" s="97" t="s">
        <v>1338</v>
      </c>
      <c r="AL482" s="90" t="b">
        <v>0</v>
      </c>
      <c r="AM482" s="90">
        <v>1</v>
      </c>
      <c r="AN482" s="97" t="s">
        <v>1190</v>
      </c>
      <c r="AO482" s="97" t="s">
        <v>1450</v>
      </c>
      <c r="AP482" s="90" t="b">
        <v>0</v>
      </c>
      <c r="AQ482" s="97" t="s">
        <v>1190</v>
      </c>
      <c r="AR482" s="90" t="s">
        <v>187</v>
      </c>
      <c r="AS482" s="90">
        <v>0</v>
      </c>
      <c r="AT482" s="90">
        <v>0</v>
      </c>
      <c r="AU482" s="90"/>
      <c r="AV482" s="90"/>
      <c r="AW482" s="90"/>
      <c r="AX482" s="90"/>
      <c r="AY482" s="90"/>
      <c r="AZ482" s="90"/>
      <c r="BA482" s="90"/>
      <c r="BB482" s="90"/>
      <c r="BC482">
        <v>2</v>
      </c>
      <c r="BD482" s="89" t="str">
        <f>REPLACE(INDEX(GroupVertices[Group],MATCH(Edges[[#This Row],[Vertex 1]],GroupVertices[Vertex],0)),1,1,"")</f>
        <v>3</v>
      </c>
      <c r="BE482" s="89" t="str">
        <f>REPLACE(INDEX(GroupVertices[Group],MATCH(Edges[[#This Row],[Vertex 2]],GroupVertices[Vertex],0)),1,1,"")</f>
        <v>3</v>
      </c>
      <c r="BF482" s="49">
        <v>0</v>
      </c>
      <c r="BG482" s="50">
        <v>0</v>
      </c>
      <c r="BH482" s="49">
        <v>1</v>
      </c>
      <c r="BI482" s="50">
        <v>2.857142857142857</v>
      </c>
      <c r="BJ482" s="49">
        <v>0</v>
      </c>
      <c r="BK482" s="50">
        <v>0</v>
      </c>
      <c r="BL482" s="49">
        <v>34</v>
      </c>
      <c r="BM482" s="50">
        <v>97.14285714285714</v>
      </c>
      <c r="BN482" s="49">
        <v>35</v>
      </c>
    </row>
    <row r="483" spans="1:66" ht="15">
      <c r="A483" s="65" t="s">
        <v>367</v>
      </c>
      <c r="B483" s="65" t="s">
        <v>450</v>
      </c>
      <c r="C483" s="66" t="s">
        <v>5818</v>
      </c>
      <c r="D483" s="67">
        <v>1</v>
      </c>
      <c r="E483" s="68" t="s">
        <v>132</v>
      </c>
      <c r="F483" s="69">
        <v>32</v>
      </c>
      <c r="G483" s="66" t="s">
        <v>51</v>
      </c>
      <c r="H483" s="70"/>
      <c r="I483" s="71"/>
      <c r="J483" s="71"/>
      <c r="K483" s="35" t="s">
        <v>65</v>
      </c>
      <c r="L483" s="79">
        <v>483</v>
      </c>
      <c r="M483" s="79"/>
      <c r="N483" s="73"/>
      <c r="O483" s="90" t="s">
        <v>523</v>
      </c>
      <c r="P483" s="93">
        <v>44526.35084490741</v>
      </c>
      <c r="Q483" s="90" t="s">
        <v>586</v>
      </c>
      <c r="R483" s="90"/>
      <c r="S483" s="90"/>
      <c r="T483" s="90"/>
      <c r="U483" s="90"/>
      <c r="V483" s="96" t="str">
        <f>HYPERLINK("https://pbs.twimg.com/profile_images/1465970962550214656/3RsuSP0L_normal.jpg")</f>
        <v>https://pbs.twimg.com/profile_images/1465970962550214656/3RsuSP0L_normal.jpg</v>
      </c>
      <c r="W483" s="93">
        <v>44526.35084490741</v>
      </c>
      <c r="X483" s="100">
        <v>44526</v>
      </c>
      <c r="Y483" s="97" t="s">
        <v>937</v>
      </c>
      <c r="Z483" s="96" t="str">
        <f>HYPERLINK("https://twitter.com/teetee63tee/status/1464148223111708672")</f>
        <v>https://twitter.com/teetee63tee/status/1464148223111708672</v>
      </c>
      <c r="AA483" s="90"/>
      <c r="AB483" s="90"/>
      <c r="AC483" s="97" t="s">
        <v>1189</v>
      </c>
      <c r="AD483" s="90"/>
      <c r="AE483" s="90" t="b">
        <v>0</v>
      </c>
      <c r="AF483" s="90">
        <v>0</v>
      </c>
      <c r="AG483" s="97" t="s">
        <v>1338</v>
      </c>
      <c r="AH483" s="90" t="b">
        <v>0</v>
      </c>
      <c r="AI483" s="90" t="s">
        <v>1442</v>
      </c>
      <c r="AJ483" s="90"/>
      <c r="AK483" s="97" t="s">
        <v>1338</v>
      </c>
      <c r="AL483" s="90" t="b">
        <v>0</v>
      </c>
      <c r="AM483" s="90">
        <v>3</v>
      </c>
      <c r="AN483" s="97" t="s">
        <v>1188</v>
      </c>
      <c r="AO483" s="97" t="s">
        <v>1450</v>
      </c>
      <c r="AP483" s="90" t="b">
        <v>0</v>
      </c>
      <c r="AQ483" s="97" t="s">
        <v>1188</v>
      </c>
      <c r="AR483" s="90" t="s">
        <v>187</v>
      </c>
      <c r="AS483" s="90">
        <v>0</v>
      </c>
      <c r="AT483" s="90">
        <v>0</v>
      </c>
      <c r="AU483" s="90"/>
      <c r="AV483" s="90"/>
      <c r="AW483" s="90"/>
      <c r="AX483" s="90"/>
      <c r="AY483" s="90"/>
      <c r="AZ483" s="90"/>
      <c r="BA483" s="90"/>
      <c r="BB483" s="90"/>
      <c r="BC483">
        <v>2</v>
      </c>
      <c r="BD483" s="89" t="str">
        <f>REPLACE(INDEX(GroupVertices[Group],MATCH(Edges[[#This Row],[Vertex 1]],GroupVertices[Vertex],0)),1,1,"")</f>
        <v>3</v>
      </c>
      <c r="BE483" s="89" t="str">
        <f>REPLACE(INDEX(GroupVertices[Group],MATCH(Edges[[#This Row],[Vertex 2]],GroupVertices[Vertex],0)),1,1,"")</f>
        <v>3</v>
      </c>
      <c r="BF483" s="49"/>
      <c r="BG483" s="50"/>
      <c r="BH483" s="49"/>
      <c r="BI483" s="50"/>
      <c r="BJ483" s="49"/>
      <c r="BK483" s="50"/>
      <c r="BL483" s="49"/>
      <c r="BM483" s="50"/>
      <c r="BN483" s="49"/>
    </row>
    <row r="484" spans="1:66" ht="15">
      <c r="A484" s="65" t="s">
        <v>367</v>
      </c>
      <c r="B484" s="65" t="s">
        <v>504</v>
      </c>
      <c r="C484" s="66" t="s">
        <v>5817</v>
      </c>
      <c r="D484" s="67">
        <v>1</v>
      </c>
      <c r="E484" s="68" t="s">
        <v>132</v>
      </c>
      <c r="F484" s="69">
        <v>32</v>
      </c>
      <c r="G484" s="66" t="s">
        <v>51</v>
      </c>
      <c r="H484" s="70"/>
      <c r="I484" s="71"/>
      <c r="J484" s="71"/>
      <c r="K484" s="35" t="s">
        <v>65</v>
      </c>
      <c r="L484" s="79">
        <v>484</v>
      </c>
      <c r="M484" s="79"/>
      <c r="N484" s="73"/>
      <c r="O484" s="90" t="s">
        <v>524</v>
      </c>
      <c r="P484" s="93">
        <v>44529.47106481482</v>
      </c>
      <c r="Q484" s="90" t="s">
        <v>671</v>
      </c>
      <c r="R484" s="90"/>
      <c r="S484" s="90"/>
      <c r="T484" s="90"/>
      <c r="U484" s="90"/>
      <c r="V484" s="96" t="str">
        <f>HYPERLINK("https://pbs.twimg.com/profile_images/1465970962550214656/3RsuSP0L_normal.jpg")</f>
        <v>https://pbs.twimg.com/profile_images/1465970962550214656/3RsuSP0L_normal.jpg</v>
      </c>
      <c r="W484" s="93">
        <v>44529.47106481482</v>
      </c>
      <c r="X484" s="100">
        <v>44529</v>
      </c>
      <c r="Y484" s="97" t="s">
        <v>940</v>
      </c>
      <c r="Z484" s="96" t="str">
        <f>HYPERLINK("https://twitter.com/teetee63tee/status/1465278954168799232")</f>
        <v>https://twitter.com/teetee63tee/status/1465278954168799232</v>
      </c>
      <c r="AA484" s="90"/>
      <c r="AB484" s="90"/>
      <c r="AC484" s="97" t="s">
        <v>1192</v>
      </c>
      <c r="AD484" s="97" t="s">
        <v>1321</v>
      </c>
      <c r="AE484" s="90" t="b">
        <v>0</v>
      </c>
      <c r="AF484" s="90">
        <v>0</v>
      </c>
      <c r="AG484" s="97" t="s">
        <v>1429</v>
      </c>
      <c r="AH484" s="90" t="b">
        <v>0</v>
      </c>
      <c r="AI484" s="90" t="s">
        <v>1444</v>
      </c>
      <c r="AJ484" s="90"/>
      <c r="AK484" s="97" t="s">
        <v>1338</v>
      </c>
      <c r="AL484" s="90" t="b">
        <v>0</v>
      </c>
      <c r="AM484" s="90">
        <v>0</v>
      </c>
      <c r="AN484" s="97" t="s">
        <v>1338</v>
      </c>
      <c r="AO484" s="97" t="s">
        <v>1450</v>
      </c>
      <c r="AP484" s="90" t="b">
        <v>0</v>
      </c>
      <c r="AQ484" s="97" t="s">
        <v>1321</v>
      </c>
      <c r="AR484" s="90" t="s">
        <v>187</v>
      </c>
      <c r="AS484" s="90">
        <v>0</v>
      </c>
      <c r="AT484" s="90">
        <v>0</v>
      </c>
      <c r="AU484" s="90"/>
      <c r="AV484" s="90"/>
      <c r="AW484" s="90"/>
      <c r="AX484" s="90"/>
      <c r="AY484" s="90"/>
      <c r="AZ484" s="90"/>
      <c r="BA484" s="90"/>
      <c r="BB484" s="90"/>
      <c r="BC484">
        <v>1</v>
      </c>
      <c r="BD484" s="89" t="str">
        <f>REPLACE(INDEX(GroupVertices[Group],MATCH(Edges[[#This Row],[Vertex 1]],GroupVertices[Vertex],0)),1,1,"")</f>
        <v>3</v>
      </c>
      <c r="BE484" s="89" t="str">
        <f>REPLACE(INDEX(GroupVertices[Group],MATCH(Edges[[#This Row],[Vertex 2]],GroupVertices[Vertex],0)),1,1,"")</f>
        <v>3</v>
      </c>
      <c r="BF484" s="49"/>
      <c r="BG484" s="50"/>
      <c r="BH484" s="49"/>
      <c r="BI484" s="50"/>
      <c r="BJ484" s="49"/>
      <c r="BK484" s="50"/>
      <c r="BL484" s="49"/>
      <c r="BM484" s="50"/>
      <c r="BN484" s="49"/>
    </row>
    <row r="485" spans="1:66" ht="15">
      <c r="A485" s="65" t="s">
        <v>367</v>
      </c>
      <c r="B485" s="65" t="s">
        <v>505</v>
      </c>
      <c r="C485" s="66" t="s">
        <v>5817</v>
      </c>
      <c r="D485" s="67">
        <v>1</v>
      </c>
      <c r="E485" s="68" t="s">
        <v>132</v>
      </c>
      <c r="F485" s="69">
        <v>32</v>
      </c>
      <c r="G485" s="66" t="s">
        <v>51</v>
      </c>
      <c r="H485" s="70"/>
      <c r="I485" s="71"/>
      <c r="J485" s="71"/>
      <c r="K485" s="35" t="s">
        <v>65</v>
      </c>
      <c r="L485" s="79">
        <v>485</v>
      </c>
      <c r="M485" s="79"/>
      <c r="N485" s="73"/>
      <c r="O485" s="90" t="s">
        <v>523</v>
      </c>
      <c r="P485" s="93">
        <v>44529.47106481482</v>
      </c>
      <c r="Q485" s="90" t="s">
        <v>671</v>
      </c>
      <c r="R485" s="90"/>
      <c r="S485" s="90"/>
      <c r="T485" s="90"/>
      <c r="U485" s="90"/>
      <c r="V485" s="96" t="str">
        <f>HYPERLINK("https://pbs.twimg.com/profile_images/1465970962550214656/3RsuSP0L_normal.jpg")</f>
        <v>https://pbs.twimg.com/profile_images/1465970962550214656/3RsuSP0L_normal.jpg</v>
      </c>
      <c r="W485" s="93">
        <v>44529.47106481482</v>
      </c>
      <c r="X485" s="100">
        <v>44529</v>
      </c>
      <c r="Y485" s="97" t="s">
        <v>940</v>
      </c>
      <c r="Z485" s="96" t="str">
        <f>HYPERLINK("https://twitter.com/teetee63tee/status/1465278954168799232")</f>
        <v>https://twitter.com/teetee63tee/status/1465278954168799232</v>
      </c>
      <c r="AA485" s="90"/>
      <c r="AB485" s="90"/>
      <c r="AC485" s="97" t="s">
        <v>1192</v>
      </c>
      <c r="AD485" s="97" t="s">
        <v>1321</v>
      </c>
      <c r="AE485" s="90" t="b">
        <v>0</v>
      </c>
      <c r="AF485" s="90">
        <v>0</v>
      </c>
      <c r="AG485" s="97" t="s">
        <v>1429</v>
      </c>
      <c r="AH485" s="90" t="b">
        <v>0</v>
      </c>
      <c r="AI485" s="90" t="s">
        <v>1444</v>
      </c>
      <c r="AJ485" s="90"/>
      <c r="AK485" s="97" t="s">
        <v>1338</v>
      </c>
      <c r="AL485" s="90" t="b">
        <v>0</v>
      </c>
      <c r="AM485" s="90">
        <v>0</v>
      </c>
      <c r="AN485" s="97" t="s">
        <v>1338</v>
      </c>
      <c r="AO485" s="97" t="s">
        <v>1450</v>
      </c>
      <c r="AP485" s="90" t="b">
        <v>0</v>
      </c>
      <c r="AQ485" s="97" t="s">
        <v>1321</v>
      </c>
      <c r="AR485" s="90" t="s">
        <v>187</v>
      </c>
      <c r="AS485" s="90">
        <v>0</v>
      </c>
      <c r="AT485" s="90">
        <v>0</v>
      </c>
      <c r="AU485" s="90"/>
      <c r="AV485" s="90"/>
      <c r="AW485" s="90"/>
      <c r="AX485" s="90"/>
      <c r="AY485" s="90"/>
      <c r="AZ485" s="90"/>
      <c r="BA485" s="90"/>
      <c r="BB485" s="90"/>
      <c r="BC485">
        <v>1</v>
      </c>
      <c r="BD485" s="89" t="str">
        <f>REPLACE(INDEX(GroupVertices[Group],MATCH(Edges[[#This Row],[Vertex 1]],GroupVertices[Vertex],0)),1,1,"")</f>
        <v>3</v>
      </c>
      <c r="BE485" s="89" t="str">
        <f>REPLACE(INDEX(GroupVertices[Group],MATCH(Edges[[#This Row],[Vertex 2]],GroupVertices[Vertex],0)),1,1,"")</f>
        <v>3</v>
      </c>
      <c r="BF485" s="49">
        <v>0</v>
      </c>
      <c r="BG485" s="50">
        <v>0</v>
      </c>
      <c r="BH485" s="49">
        <v>0</v>
      </c>
      <c r="BI485" s="50">
        <v>0</v>
      </c>
      <c r="BJ485" s="49">
        <v>0</v>
      </c>
      <c r="BK485" s="50">
        <v>0</v>
      </c>
      <c r="BL485" s="49">
        <v>3</v>
      </c>
      <c r="BM485" s="50">
        <v>100</v>
      </c>
      <c r="BN485" s="49">
        <v>3</v>
      </c>
    </row>
    <row r="486" spans="1:66" ht="15">
      <c r="A486" s="65" t="s">
        <v>367</v>
      </c>
      <c r="B486" s="65" t="s">
        <v>506</v>
      </c>
      <c r="C486" s="66" t="s">
        <v>5817</v>
      </c>
      <c r="D486" s="67">
        <v>1</v>
      </c>
      <c r="E486" s="68" t="s">
        <v>132</v>
      </c>
      <c r="F486" s="69">
        <v>32</v>
      </c>
      <c r="G486" s="66" t="s">
        <v>51</v>
      </c>
      <c r="H486" s="70"/>
      <c r="I486" s="71"/>
      <c r="J486" s="71"/>
      <c r="K486" s="35" t="s">
        <v>65</v>
      </c>
      <c r="L486" s="79">
        <v>486</v>
      </c>
      <c r="M486" s="79"/>
      <c r="N486" s="73"/>
      <c r="O486" s="90" t="s">
        <v>524</v>
      </c>
      <c r="P486" s="93">
        <v>44530.36096064815</v>
      </c>
      <c r="Q486" s="90" t="s">
        <v>672</v>
      </c>
      <c r="R486" s="90"/>
      <c r="S486" s="90"/>
      <c r="T486" s="90"/>
      <c r="U486" s="90"/>
      <c r="V486" s="96" t="str">
        <f>HYPERLINK("https://pbs.twimg.com/profile_images/1465970962550214656/3RsuSP0L_normal.jpg")</f>
        <v>https://pbs.twimg.com/profile_images/1465970962550214656/3RsuSP0L_normal.jpg</v>
      </c>
      <c r="W486" s="93">
        <v>44530.36096064815</v>
      </c>
      <c r="X486" s="100">
        <v>44530</v>
      </c>
      <c r="Y486" s="97" t="s">
        <v>941</v>
      </c>
      <c r="Z486" s="96" t="str">
        <f>HYPERLINK("https://twitter.com/teetee63tee/status/1465601441972817920")</f>
        <v>https://twitter.com/teetee63tee/status/1465601441972817920</v>
      </c>
      <c r="AA486" s="90"/>
      <c r="AB486" s="90"/>
      <c r="AC486" s="97" t="s">
        <v>1193</v>
      </c>
      <c r="AD486" s="97" t="s">
        <v>1322</v>
      </c>
      <c r="AE486" s="90" t="b">
        <v>0</v>
      </c>
      <c r="AF486" s="90">
        <v>0</v>
      </c>
      <c r="AG486" s="97" t="s">
        <v>1430</v>
      </c>
      <c r="AH486" s="90" t="b">
        <v>0</v>
      </c>
      <c r="AI486" s="90" t="s">
        <v>1445</v>
      </c>
      <c r="AJ486" s="90"/>
      <c r="AK486" s="97" t="s">
        <v>1338</v>
      </c>
      <c r="AL486" s="90" t="b">
        <v>0</v>
      </c>
      <c r="AM486" s="90">
        <v>0</v>
      </c>
      <c r="AN486" s="97" t="s">
        <v>1338</v>
      </c>
      <c r="AO486" s="97" t="s">
        <v>1450</v>
      </c>
      <c r="AP486" s="90" t="b">
        <v>0</v>
      </c>
      <c r="AQ486" s="97" t="s">
        <v>1322</v>
      </c>
      <c r="AR486" s="90" t="s">
        <v>187</v>
      </c>
      <c r="AS486" s="90">
        <v>0</v>
      </c>
      <c r="AT486" s="90">
        <v>0</v>
      </c>
      <c r="AU486" s="90"/>
      <c r="AV486" s="90"/>
      <c r="AW486" s="90"/>
      <c r="AX486" s="90"/>
      <c r="AY486" s="90"/>
      <c r="AZ486" s="90"/>
      <c r="BA486" s="90"/>
      <c r="BB486" s="90"/>
      <c r="BC486">
        <v>1</v>
      </c>
      <c r="BD486" s="89" t="str">
        <f>REPLACE(INDEX(GroupVertices[Group],MATCH(Edges[[#This Row],[Vertex 1]],GroupVertices[Vertex],0)),1,1,"")</f>
        <v>3</v>
      </c>
      <c r="BE486" s="89" t="str">
        <f>REPLACE(INDEX(GroupVertices[Group],MATCH(Edges[[#This Row],[Vertex 2]],GroupVertices[Vertex],0)),1,1,"")</f>
        <v>3</v>
      </c>
      <c r="BF486" s="49">
        <v>0</v>
      </c>
      <c r="BG486" s="50">
        <v>0</v>
      </c>
      <c r="BH486" s="49">
        <v>0</v>
      </c>
      <c r="BI486" s="50">
        <v>0</v>
      </c>
      <c r="BJ486" s="49">
        <v>0</v>
      </c>
      <c r="BK486" s="50">
        <v>0</v>
      </c>
      <c r="BL486" s="49">
        <v>4</v>
      </c>
      <c r="BM486" s="50">
        <v>100</v>
      </c>
      <c r="BN486" s="49">
        <v>4</v>
      </c>
    </row>
    <row r="487" spans="1:66" ht="15">
      <c r="A487" s="65" t="s">
        <v>367</v>
      </c>
      <c r="B487" s="65" t="s">
        <v>494</v>
      </c>
      <c r="C487" s="66" t="s">
        <v>5818</v>
      </c>
      <c r="D487" s="67">
        <v>1</v>
      </c>
      <c r="E487" s="68" t="s">
        <v>132</v>
      </c>
      <c r="F487" s="69">
        <v>32</v>
      </c>
      <c r="G487" s="66" t="s">
        <v>51</v>
      </c>
      <c r="H487" s="70"/>
      <c r="I487" s="71"/>
      <c r="J487" s="71"/>
      <c r="K487" s="35" t="s">
        <v>65</v>
      </c>
      <c r="L487" s="79">
        <v>487</v>
      </c>
      <c r="M487" s="79"/>
      <c r="N487" s="73"/>
      <c r="O487" s="90" t="s">
        <v>524</v>
      </c>
      <c r="P487" s="93">
        <v>44530.41261574074</v>
      </c>
      <c r="Q487" s="90" t="s">
        <v>673</v>
      </c>
      <c r="R487" s="90"/>
      <c r="S487" s="90"/>
      <c r="T487" s="90"/>
      <c r="U487" s="90"/>
      <c r="V487" s="96" t="str">
        <f>HYPERLINK("https://pbs.twimg.com/profile_images/1465970962550214656/3RsuSP0L_normal.jpg")</f>
        <v>https://pbs.twimg.com/profile_images/1465970962550214656/3RsuSP0L_normal.jpg</v>
      </c>
      <c r="W487" s="93">
        <v>44530.41261574074</v>
      </c>
      <c r="X487" s="100">
        <v>44530</v>
      </c>
      <c r="Y487" s="97" t="s">
        <v>942</v>
      </c>
      <c r="Z487" s="96" t="str">
        <f>HYPERLINK("https://twitter.com/teetee63tee/status/1465620157515108354")</f>
        <v>https://twitter.com/teetee63tee/status/1465620157515108354</v>
      </c>
      <c r="AA487" s="90"/>
      <c r="AB487" s="90"/>
      <c r="AC487" s="97" t="s">
        <v>1194</v>
      </c>
      <c r="AD487" s="97" t="s">
        <v>1323</v>
      </c>
      <c r="AE487" s="90" t="b">
        <v>0</v>
      </c>
      <c r="AF487" s="90">
        <v>5</v>
      </c>
      <c r="AG487" s="97" t="s">
        <v>1342</v>
      </c>
      <c r="AH487" s="90" t="b">
        <v>0</v>
      </c>
      <c r="AI487" s="90" t="s">
        <v>1444</v>
      </c>
      <c r="AJ487" s="90"/>
      <c r="AK487" s="97" t="s">
        <v>1338</v>
      </c>
      <c r="AL487" s="90" t="b">
        <v>0</v>
      </c>
      <c r="AM487" s="90">
        <v>0</v>
      </c>
      <c r="AN487" s="97" t="s">
        <v>1338</v>
      </c>
      <c r="AO487" s="97" t="s">
        <v>1450</v>
      </c>
      <c r="AP487" s="90" t="b">
        <v>0</v>
      </c>
      <c r="AQ487" s="97" t="s">
        <v>1323</v>
      </c>
      <c r="AR487" s="90" t="s">
        <v>187</v>
      </c>
      <c r="AS487" s="90">
        <v>0</v>
      </c>
      <c r="AT487" s="90">
        <v>0</v>
      </c>
      <c r="AU487" s="90"/>
      <c r="AV487" s="90"/>
      <c r="AW487" s="90"/>
      <c r="AX487" s="90"/>
      <c r="AY487" s="90"/>
      <c r="AZ487" s="90"/>
      <c r="BA487" s="90"/>
      <c r="BB487" s="90"/>
      <c r="BC487">
        <v>2</v>
      </c>
      <c r="BD487" s="89" t="str">
        <f>REPLACE(INDEX(GroupVertices[Group],MATCH(Edges[[#This Row],[Vertex 1]],GroupVertices[Vertex],0)),1,1,"")</f>
        <v>3</v>
      </c>
      <c r="BE487" s="89" t="str">
        <f>REPLACE(INDEX(GroupVertices[Group],MATCH(Edges[[#This Row],[Vertex 2]],GroupVertices[Vertex],0)),1,1,"")</f>
        <v>6</v>
      </c>
      <c r="BF487" s="49">
        <v>0</v>
      </c>
      <c r="BG487" s="50">
        <v>0</v>
      </c>
      <c r="BH487" s="49">
        <v>0</v>
      </c>
      <c r="BI487" s="50">
        <v>0</v>
      </c>
      <c r="BJ487" s="49">
        <v>0</v>
      </c>
      <c r="BK487" s="50">
        <v>0</v>
      </c>
      <c r="BL487" s="49">
        <v>3</v>
      </c>
      <c r="BM487" s="50">
        <v>100</v>
      </c>
      <c r="BN487" s="49">
        <v>3</v>
      </c>
    </row>
    <row r="488" spans="1:66" ht="15">
      <c r="A488" s="65" t="s">
        <v>367</v>
      </c>
      <c r="B488" s="65" t="s">
        <v>494</v>
      </c>
      <c r="C488" s="66" t="s">
        <v>5818</v>
      </c>
      <c r="D488" s="67">
        <v>1</v>
      </c>
      <c r="E488" s="68" t="s">
        <v>132</v>
      </c>
      <c r="F488" s="69">
        <v>32</v>
      </c>
      <c r="G488" s="66" t="s">
        <v>51</v>
      </c>
      <c r="H488" s="70"/>
      <c r="I488" s="71"/>
      <c r="J488" s="71"/>
      <c r="K488" s="35" t="s">
        <v>65</v>
      </c>
      <c r="L488" s="79">
        <v>488</v>
      </c>
      <c r="M488" s="79"/>
      <c r="N488" s="73"/>
      <c r="O488" s="90" t="s">
        <v>524</v>
      </c>
      <c r="P488" s="93">
        <v>44530.63454861111</v>
      </c>
      <c r="Q488" s="90" t="s">
        <v>673</v>
      </c>
      <c r="R488" s="90"/>
      <c r="S488" s="90"/>
      <c r="T488" s="90"/>
      <c r="U488" s="90"/>
      <c r="V488" s="96" t="str">
        <f>HYPERLINK("https://pbs.twimg.com/profile_images/1465970962550214656/3RsuSP0L_normal.jpg")</f>
        <v>https://pbs.twimg.com/profile_images/1465970962550214656/3RsuSP0L_normal.jpg</v>
      </c>
      <c r="W488" s="93">
        <v>44530.63454861111</v>
      </c>
      <c r="X488" s="100">
        <v>44530</v>
      </c>
      <c r="Y488" s="97" t="s">
        <v>943</v>
      </c>
      <c r="Z488" s="96" t="str">
        <f>HYPERLINK("https://twitter.com/teetee63tee/status/1465700583214501895")</f>
        <v>https://twitter.com/teetee63tee/status/1465700583214501895</v>
      </c>
      <c r="AA488" s="90"/>
      <c r="AB488" s="90"/>
      <c r="AC488" s="97" t="s">
        <v>1195</v>
      </c>
      <c r="AD488" s="97" t="s">
        <v>1324</v>
      </c>
      <c r="AE488" s="90" t="b">
        <v>0</v>
      </c>
      <c r="AF488" s="90">
        <v>0</v>
      </c>
      <c r="AG488" s="97" t="s">
        <v>1342</v>
      </c>
      <c r="AH488" s="90" t="b">
        <v>0</v>
      </c>
      <c r="AI488" s="90" t="s">
        <v>1444</v>
      </c>
      <c r="AJ488" s="90"/>
      <c r="AK488" s="97" t="s">
        <v>1338</v>
      </c>
      <c r="AL488" s="90" t="b">
        <v>0</v>
      </c>
      <c r="AM488" s="90">
        <v>0</v>
      </c>
      <c r="AN488" s="97" t="s">
        <v>1338</v>
      </c>
      <c r="AO488" s="97" t="s">
        <v>1450</v>
      </c>
      <c r="AP488" s="90" t="b">
        <v>0</v>
      </c>
      <c r="AQ488" s="97" t="s">
        <v>1324</v>
      </c>
      <c r="AR488" s="90" t="s">
        <v>187</v>
      </c>
      <c r="AS488" s="90">
        <v>0</v>
      </c>
      <c r="AT488" s="90">
        <v>0</v>
      </c>
      <c r="AU488" s="90"/>
      <c r="AV488" s="90"/>
      <c r="AW488" s="90"/>
      <c r="AX488" s="90"/>
      <c r="AY488" s="90"/>
      <c r="AZ488" s="90"/>
      <c r="BA488" s="90"/>
      <c r="BB488" s="90"/>
      <c r="BC488">
        <v>2</v>
      </c>
      <c r="BD488" s="89" t="str">
        <f>REPLACE(INDEX(GroupVertices[Group],MATCH(Edges[[#This Row],[Vertex 1]],GroupVertices[Vertex],0)),1,1,"")</f>
        <v>3</v>
      </c>
      <c r="BE488" s="89" t="str">
        <f>REPLACE(INDEX(GroupVertices[Group],MATCH(Edges[[#This Row],[Vertex 2]],GroupVertices[Vertex],0)),1,1,"")</f>
        <v>6</v>
      </c>
      <c r="BF488" s="49">
        <v>0</v>
      </c>
      <c r="BG488" s="50">
        <v>0</v>
      </c>
      <c r="BH488" s="49">
        <v>0</v>
      </c>
      <c r="BI488" s="50">
        <v>0</v>
      </c>
      <c r="BJ488" s="49">
        <v>0</v>
      </c>
      <c r="BK488" s="50">
        <v>0</v>
      </c>
      <c r="BL488" s="49">
        <v>3</v>
      </c>
      <c r="BM488" s="50">
        <v>100</v>
      </c>
      <c r="BN488" s="49">
        <v>3</v>
      </c>
    </row>
    <row r="489" spans="1:66" ht="15">
      <c r="A489" s="65" t="s">
        <v>368</v>
      </c>
      <c r="B489" s="65" t="s">
        <v>430</v>
      </c>
      <c r="C489" s="66" t="s">
        <v>5817</v>
      </c>
      <c r="D489" s="67">
        <v>1</v>
      </c>
      <c r="E489" s="68" t="s">
        <v>132</v>
      </c>
      <c r="F489" s="69">
        <v>32</v>
      </c>
      <c r="G489" s="66" t="s">
        <v>51</v>
      </c>
      <c r="H489" s="70"/>
      <c r="I489" s="71"/>
      <c r="J489" s="71"/>
      <c r="K489" s="35" t="s">
        <v>65</v>
      </c>
      <c r="L489" s="79">
        <v>489</v>
      </c>
      <c r="M489" s="79"/>
      <c r="N489" s="73"/>
      <c r="O489" s="90" t="s">
        <v>524</v>
      </c>
      <c r="P489" s="93">
        <v>44530.64356481482</v>
      </c>
      <c r="Q489" s="90" t="s">
        <v>576</v>
      </c>
      <c r="R489" s="90"/>
      <c r="S489" s="90"/>
      <c r="T489" s="97" t="s">
        <v>712</v>
      </c>
      <c r="U489" s="96" t="str">
        <f>HYPERLINK("https://pbs.twimg.com/media/FFc5qVTVQAkWXE2.jpg")</f>
        <v>https://pbs.twimg.com/media/FFc5qVTVQAkWXE2.jpg</v>
      </c>
      <c r="V489" s="96" t="str">
        <f>HYPERLINK("https://pbs.twimg.com/media/FFc5qVTVQAkWXE2.jpg")</f>
        <v>https://pbs.twimg.com/media/FFc5qVTVQAkWXE2.jpg</v>
      </c>
      <c r="W489" s="93">
        <v>44530.64356481482</v>
      </c>
      <c r="X489" s="100">
        <v>44530</v>
      </c>
      <c r="Y489" s="97" t="s">
        <v>944</v>
      </c>
      <c r="Z489" s="96" t="str">
        <f>HYPERLINK("https://twitter.com/koronakuiskaaja/status/1465703851122511875")</f>
        <v>https://twitter.com/koronakuiskaaja/status/1465703851122511875</v>
      </c>
      <c r="AA489" s="90"/>
      <c r="AB489" s="90"/>
      <c r="AC489" s="97" t="s">
        <v>1196</v>
      </c>
      <c r="AD489" s="90"/>
      <c r="AE489" s="90" t="b">
        <v>0</v>
      </c>
      <c r="AF489" s="90">
        <v>47</v>
      </c>
      <c r="AG489" s="97" t="s">
        <v>1338</v>
      </c>
      <c r="AH489" s="90" t="b">
        <v>0</v>
      </c>
      <c r="AI489" s="90" t="s">
        <v>1442</v>
      </c>
      <c r="AJ489" s="90"/>
      <c r="AK489" s="97" t="s">
        <v>1338</v>
      </c>
      <c r="AL489" s="90" t="b">
        <v>0</v>
      </c>
      <c r="AM489" s="90">
        <v>18</v>
      </c>
      <c r="AN489" s="97" t="s">
        <v>1338</v>
      </c>
      <c r="AO489" s="97" t="s">
        <v>1450</v>
      </c>
      <c r="AP489" s="90" t="b">
        <v>0</v>
      </c>
      <c r="AQ489" s="97" t="s">
        <v>1196</v>
      </c>
      <c r="AR489" s="90" t="s">
        <v>187</v>
      </c>
      <c r="AS489" s="90">
        <v>0</v>
      </c>
      <c r="AT489" s="90">
        <v>0</v>
      </c>
      <c r="AU489" s="90"/>
      <c r="AV489" s="90"/>
      <c r="AW489" s="90"/>
      <c r="AX489" s="90"/>
      <c r="AY489" s="90"/>
      <c r="AZ489" s="90"/>
      <c r="BA489" s="90"/>
      <c r="BB489" s="90"/>
      <c r="BC489">
        <v>1</v>
      </c>
      <c r="BD489" s="89" t="str">
        <f>REPLACE(INDEX(GroupVertices[Group],MATCH(Edges[[#This Row],[Vertex 1]],GroupVertices[Vertex],0)),1,1,"")</f>
        <v>3</v>
      </c>
      <c r="BE489" s="89" t="str">
        <f>REPLACE(INDEX(GroupVertices[Group],MATCH(Edges[[#This Row],[Vertex 2]],GroupVertices[Vertex],0)),1,1,"")</f>
        <v>3</v>
      </c>
      <c r="BF489" s="49"/>
      <c r="BG489" s="50"/>
      <c r="BH489" s="49"/>
      <c r="BI489" s="50"/>
      <c r="BJ489" s="49"/>
      <c r="BK489" s="50"/>
      <c r="BL489" s="49"/>
      <c r="BM489" s="50"/>
      <c r="BN489" s="49"/>
    </row>
    <row r="490" spans="1:66" ht="15">
      <c r="A490" s="65" t="s">
        <v>324</v>
      </c>
      <c r="B490" s="65" t="s">
        <v>430</v>
      </c>
      <c r="C490" s="66" t="s">
        <v>5817</v>
      </c>
      <c r="D490" s="67">
        <v>1</v>
      </c>
      <c r="E490" s="68" t="s">
        <v>132</v>
      </c>
      <c r="F490" s="69">
        <v>32</v>
      </c>
      <c r="G490" s="66" t="s">
        <v>51</v>
      </c>
      <c r="H490" s="70"/>
      <c r="I490" s="71"/>
      <c r="J490" s="71"/>
      <c r="K490" s="35" t="s">
        <v>65</v>
      </c>
      <c r="L490" s="79">
        <v>490</v>
      </c>
      <c r="M490" s="79"/>
      <c r="N490" s="73"/>
      <c r="O490" s="90" t="s">
        <v>525</v>
      </c>
      <c r="P490" s="93">
        <v>44530.757418981484</v>
      </c>
      <c r="Q490" s="90" t="s">
        <v>576</v>
      </c>
      <c r="R490" s="90"/>
      <c r="S490" s="90"/>
      <c r="T490" s="97" t="s">
        <v>712</v>
      </c>
      <c r="U490" s="96" t="str">
        <f>HYPERLINK("https://pbs.twimg.com/media/FFc5qVTVQAkWXE2.jpg")</f>
        <v>https://pbs.twimg.com/media/FFc5qVTVQAkWXE2.jpg</v>
      </c>
      <c r="V490" s="96" t="str">
        <f>HYPERLINK("https://pbs.twimg.com/media/FFc5qVTVQAkWXE2.jpg")</f>
        <v>https://pbs.twimg.com/media/FFc5qVTVQAkWXE2.jpg</v>
      </c>
      <c r="W490" s="93">
        <v>44530.757418981484</v>
      </c>
      <c r="X490" s="100">
        <v>44530</v>
      </c>
      <c r="Y490" s="97" t="s">
        <v>945</v>
      </c>
      <c r="Z490" s="96" t="str">
        <f>HYPERLINK("https://twitter.com/mmaitoparta/status/1465745111430610946")</f>
        <v>https://twitter.com/mmaitoparta/status/1465745111430610946</v>
      </c>
      <c r="AA490" s="90"/>
      <c r="AB490" s="90"/>
      <c r="AC490" s="97" t="s">
        <v>1197</v>
      </c>
      <c r="AD490" s="90"/>
      <c r="AE490" s="90" t="b">
        <v>0</v>
      </c>
      <c r="AF490" s="90">
        <v>0</v>
      </c>
      <c r="AG490" s="97" t="s">
        <v>1338</v>
      </c>
      <c r="AH490" s="90" t="b">
        <v>0</v>
      </c>
      <c r="AI490" s="90" t="s">
        <v>1442</v>
      </c>
      <c r="AJ490" s="90"/>
      <c r="AK490" s="97" t="s">
        <v>1338</v>
      </c>
      <c r="AL490" s="90" t="b">
        <v>0</v>
      </c>
      <c r="AM490" s="90">
        <v>18</v>
      </c>
      <c r="AN490" s="97" t="s">
        <v>1196</v>
      </c>
      <c r="AO490" s="97" t="s">
        <v>1452</v>
      </c>
      <c r="AP490" s="90" t="b">
        <v>0</v>
      </c>
      <c r="AQ490" s="97" t="s">
        <v>1196</v>
      </c>
      <c r="AR490" s="90" t="s">
        <v>187</v>
      </c>
      <c r="AS490" s="90">
        <v>0</v>
      </c>
      <c r="AT490" s="90">
        <v>0</v>
      </c>
      <c r="AU490" s="90"/>
      <c r="AV490" s="90"/>
      <c r="AW490" s="90"/>
      <c r="AX490" s="90"/>
      <c r="AY490" s="90"/>
      <c r="AZ490" s="90"/>
      <c r="BA490" s="90"/>
      <c r="BB490" s="90"/>
      <c r="BC490">
        <v>1</v>
      </c>
      <c r="BD490" s="89" t="str">
        <f>REPLACE(INDEX(GroupVertices[Group],MATCH(Edges[[#This Row],[Vertex 1]],GroupVertices[Vertex],0)),1,1,"")</f>
        <v>3</v>
      </c>
      <c r="BE490" s="89" t="str">
        <f>REPLACE(INDEX(GroupVertices[Group],MATCH(Edges[[#This Row],[Vertex 2]],GroupVertices[Vertex],0)),1,1,"")</f>
        <v>3</v>
      </c>
      <c r="BF490" s="49"/>
      <c r="BG490" s="50"/>
      <c r="BH490" s="49"/>
      <c r="BI490" s="50"/>
      <c r="BJ490" s="49"/>
      <c r="BK490" s="50"/>
      <c r="BL490" s="49"/>
      <c r="BM490" s="50"/>
      <c r="BN490" s="49"/>
    </row>
    <row r="491" spans="1:66" ht="15">
      <c r="A491" s="65" t="s">
        <v>367</v>
      </c>
      <c r="B491" s="65" t="s">
        <v>430</v>
      </c>
      <c r="C491" s="66" t="s">
        <v>5817</v>
      </c>
      <c r="D491" s="67">
        <v>1</v>
      </c>
      <c r="E491" s="68" t="s">
        <v>132</v>
      </c>
      <c r="F491" s="69">
        <v>32</v>
      </c>
      <c r="G491" s="66" t="s">
        <v>51</v>
      </c>
      <c r="H491" s="70"/>
      <c r="I491" s="71"/>
      <c r="J491" s="71"/>
      <c r="K491" s="35" t="s">
        <v>65</v>
      </c>
      <c r="L491" s="79">
        <v>491</v>
      </c>
      <c r="M491" s="79"/>
      <c r="N491" s="73"/>
      <c r="O491" s="90" t="s">
        <v>525</v>
      </c>
      <c r="P491" s="93">
        <v>44530.75814814815</v>
      </c>
      <c r="Q491" s="90" t="s">
        <v>576</v>
      </c>
      <c r="R491" s="90"/>
      <c r="S491" s="90"/>
      <c r="T491" s="97" t="s">
        <v>712</v>
      </c>
      <c r="U491" s="96" t="str">
        <f>HYPERLINK("https://pbs.twimg.com/media/FFc5qVTVQAkWXE2.jpg")</f>
        <v>https://pbs.twimg.com/media/FFc5qVTVQAkWXE2.jpg</v>
      </c>
      <c r="V491" s="96" t="str">
        <f>HYPERLINK("https://pbs.twimg.com/media/FFc5qVTVQAkWXE2.jpg")</f>
        <v>https://pbs.twimg.com/media/FFc5qVTVQAkWXE2.jpg</v>
      </c>
      <c r="W491" s="93">
        <v>44530.75814814815</v>
      </c>
      <c r="X491" s="100">
        <v>44530</v>
      </c>
      <c r="Y491" s="97" t="s">
        <v>946</v>
      </c>
      <c r="Z491" s="96" t="str">
        <f>HYPERLINK("https://twitter.com/teetee63tee/status/1465745376074477576")</f>
        <v>https://twitter.com/teetee63tee/status/1465745376074477576</v>
      </c>
      <c r="AA491" s="90"/>
      <c r="AB491" s="90"/>
      <c r="AC491" s="97" t="s">
        <v>1198</v>
      </c>
      <c r="AD491" s="90"/>
      <c r="AE491" s="90" t="b">
        <v>0</v>
      </c>
      <c r="AF491" s="90">
        <v>0</v>
      </c>
      <c r="AG491" s="97" t="s">
        <v>1338</v>
      </c>
      <c r="AH491" s="90" t="b">
        <v>0</v>
      </c>
      <c r="AI491" s="90" t="s">
        <v>1442</v>
      </c>
      <c r="AJ491" s="90"/>
      <c r="AK491" s="97" t="s">
        <v>1338</v>
      </c>
      <c r="AL491" s="90" t="b">
        <v>0</v>
      </c>
      <c r="AM491" s="90">
        <v>18</v>
      </c>
      <c r="AN491" s="97" t="s">
        <v>1196</v>
      </c>
      <c r="AO491" s="97" t="s">
        <v>1450</v>
      </c>
      <c r="AP491" s="90" t="b">
        <v>0</v>
      </c>
      <c r="AQ491" s="97" t="s">
        <v>1196</v>
      </c>
      <c r="AR491" s="90" t="s">
        <v>187</v>
      </c>
      <c r="AS491" s="90">
        <v>0</v>
      </c>
      <c r="AT491" s="90">
        <v>0</v>
      </c>
      <c r="AU491" s="90"/>
      <c r="AV491" s="90"/>
      <c r="AW491" s="90"/>
      <c r="AX491" s="90"/>
      <c r="AY491" s="90"/>
      <c r="AZ491" s="90"/>
      <c r="BA491" s="90"/>
      <c r="BB491" s="90"/>
      <c r="BC491">
        <v>1</v>
      </c>
      <c r="BD491" s="89" t="str">
        <f>REPLACE(INDEX(GroupVertices[Group],MATCH(Edges[[#This Row],[Vertex 1]],GroupVertices[Vertex],0)),1,1,"")</f>
        <v>3</v>
      </c>
      <c r="BE491" s="89" t="str">
        <f>REPLACE(INDEX(GroupVertices[Group],MATCH(Edges[[#This Row],[Vertex 2]],GroupVertices[Vertex],0)),1,1,"")</f>
        <v>3</v>
      </c>
      <c r="BF491" s="49"/>
      <c r="BG491" s="50"/>
      <c r="BH491" s="49"/>
      <c r="BI491" s="50"/>
      <c r="BJ491" s="49"/>
      <c r="BK491" s="50"/>
      <c r="BL491" s="49"/>
      <c r="BM491" s="50"/>
      <c r="BN491" s="49"/>
    </row>
    <row r="492" spans="1:66" ht="15">
      <c r="A492" s="65" t="s">
        <v>367</v>
      </c>
      <c r="B492" s="65" t="s">
        <v>430</v>
      </c>
      <c r="C492" s="66" t="s">
        <v>5817</v>
      </c>
      <c r="D492" s="67">
        <v>1</v>
      </c>
      <c r="E492" s="68" t="s">
        <v>132</v>
      </c>
      <c r="F492" s="69">
        <v>32</v>
      </c>
      <c r="G492" s="66" t="s">
        <v>51</v>
      </c>
      <c r="H492" s="70"/>
      <c r="I492" s="71"/>
      <c r="J492" s="71"/>
      <c r="K492" s="35" t="s">
        <v>65</v>
      </c>
      <c r="L492" s="79">
        <v>492</v>
      </c>
      <c r="M492" s="79"/>
      <c r="N492" s="73"/>
      <c r="O492" s="90" t="s">
        <v>524</v>
      </c>
      <c r="P492" s="93">
        <v>44530.75848379629</v>
      </c>
      <c r="Q492" s="90" t="s">
        <v>612</v>
      </c>
      <c r="R492" s="90"/>
      <c r="S492" s="90"/>
      <c r="T492" s="90"/>
      <c r="U492" s="90"/>
      <c r="V492" s="96" t="str">
        <f>HYPERLINK("https://pbs.twimg.com/profile_images/1465970962550214656/3RsuSP0L_normal.jpg")</f>
        <v>https://pbs.twimg.com/profile_images/1465970962550214656/3RsuSP0L_normal.jpg</v>
      </c>
      <c r="W492" s="93">
        <v>44530.75848379629</v>
      </c>
      <c r="X492" s="100">
        <v>44530</v>
      </c>
      <c r="Y492" s="97" t="s">
        <v>947</v>
      </c>
      <c r="Z492" s="96" t="str">
        <f>HYPERLINK("https://twitter.com/teetee63tee/status/1465745495847014405")</f>
        <v>https://twitter.com/teetee63tee/status/1465745495847014405</v>
      </c>
      <c r="AA492" s="90"/>
      <c r="AB492" s="90"/>
      <c r="AC492" s="97" t="s">
        <v>1199</v>
      </c>
      <c r="AD492" s="97" t="s">
        <v>1196</v>
      </c>
      <c r="AE492" s="90" t="b">
        <v>0</v>
      </c>
      <c r="AF492" s="90">
        <v>3</v>
      </c>
      <c r="AG492" s="97" t="s">
        <v>1425</v>
      </c>
      <c r="AH492" s="90" t="b">
        <v>0</v>
      </c>
      <c r="AI492" s="90" t="s">
        <v>1444</v>
      </c>
      <c r="AJ492" s="90"/>
      <c r="AK492" s="97" t="s">
        <v>1338</v>
      </c>
      <c r="AL492" s="90" t="b">
        <v>0</v>
      </c>
      <c r="AM492" s="90">
        <v>1</v>
      </c>
      <c r="AN492" s="97" t="s">
        <v>1338</v>
      </c>
      <c r="AO492" s="97" t="s">
        <v>1450</v>
      </c>
      <c r="AP492" s="90" t="b">
        <v>0</v>
      </c>
      <c r="AQ492" s="97" t="s">
        <v>1196</v>
      </c>
      <c r="AR492" s="90" t="s">
        <v>187</v>
      </c>
      <c r="AS492" s="90">
        <v>0</v>
      </c>
      <c r="AT492" s="90">
        <v>0</v>
      </c>
      <c r="AU492" s="90"/>
      <c r="AV492" s="90"/>
      <c r="AW492" s="90"/>
      <c r="AX492" s="90"/>
      <c r="AY492" s="90"/>
      <c r="AZ492" s="90"/>
      <c r="BA492" s="90"/>
      <c r="BB492" s="90"/>
      <c r="BC492">
        <v>1</v>
      </c>
      <c r="BD492" s="89" t="str">
        <f>REPLACE(INDEX(GroupVertices[Group],MATCH(Edges[[#This Row],[Vertex 1]],GroupVertices[Vertex],0)),1,1,"")</f>
        <v>3</v>
      </c>
      <c r="BE492" s="89" t="str">
        <f>REPLACE(INDEX(GroupVertices[Group],MATCH(Edges[[#This Row],[Vertex 2]],GroupVertices[Vertex],0)),1,1,"")</f>
        <v>3</v>
      </c>
      <c r="BF492" s="49"/>
      <c r="BG492" s="50"/>
      <c r="BH492" s="49"/>
      <c r="BI492" s="50"/>
      <c r="BJ492" s="49"/>
      <c r="BK492" s="50"/>
      <c r="BL492" s="49"/>
      <c r="BM492" s="50"/>
      <c r="BN492" s="49"/>
    </row>
    <row r="493" spans="1:66" ht="15">
      <c r="A493" s="65" t="s">
        <v>368</v>
      </c>
      <c r="B493" s="65" t="s">
        <v>431</v>
      </c>
      <c r="C493" s="66" t="s">
        <v>5817</v>
      </c>
      <c r="D493" s="67">
        <v>1</v>
      </c>
      <c r="E493" s="68" t="s">
        <v>132</v>
      </c>
      <c r="F493" s="69">
        <v>32</v>
      </c>
      <c r="G493" s="66" t="s">
        <v>51</v>
      </c>
      <c r="H493" s="70"/>
      <c r="I493" s="71"/>
      <c r="J493" s="71"/>
      <c r="K493" s="35" t="s">
        <v>65</v>
      </c>
      <c r="L493" s="79">
        <v>493</v>
      </c>
      <c r="M493" s="79"/>
      <c r="N493" s="73"/>
      <c r="O493" s="90" t="s">
        <v>524</v>
      </c>
      <c r="P493" s="93">
        <v>44530.64356481482</v>
      </c>
      <c r="Q493" s="90" t="s">
        <v>576</v>
      </c>
      <c r="R493" s="90"/>
      <c r="S493" s="90"/>
      <c r="T493" s="97" t="s">
        <v>712</v>
      </c>
      <c r="U493" s="96" t="str">
        <f>HYPERLINK("https://pbs.twimg.com/media/FFc5qVTVQAkWXE2.jpg")</f>
        <v>https://pbs.twimg.com/media/FFc5qVTVQAkWXE2.jpg</v>
      </c>
      <c r="V493" s="96" t="str">
        <f>HYPERLINK("https://pbs.twimg.com/media/FFc5qVTVQAkWXE2.jpg")</f>
        <v>https://pbs.twimg.com/media/FFc5qVTVQAkWXE2.jpg</v>
      </c>
      <c r="W493" s="93">
        <v>44530.64356481482</v>
      </c>
      <c r="X493" s="100">
        <v>44530</v>
      </c>
      <c r="Y493" s="97" t="s">
        <v>944</v>
      </c>
      <c r="Z493" s="96" t="str">
        <f>HYPERLINK("https://twitter.com/koronakuiskaaja/status/1465703851122511875")</f>
        <v>https://twitter.com/koronakuiskaaja/status/1465703851122511875</v>
      </c>
      <c r="AA493" s="90"/>
      <c r="AB493" s="90"/>
      <c r="AC493" s="97" t="s">
        <v>1196</v>
      </c>
      <c r="AD493" s="90"/>
      <c r="AE493" s="90" t="b">
        <v>0</v>
      </c>
      <c r="AF493" s="90">
        <v>47</v>
      </c>
      <c r="AG493" s="97" t="s">
        <v>1338</v>
      </c>
      <c r="AH493" s="90" t="b">
        <v>0</v>
      </c>
      <c r="AI493" s="90" t="s">
        <v>1442</v>
      </c>
      <c r="AJ493" s="90"/>
      <c r="AK493" s="97" t="s">
        <v>1338</v>
      </c>
      <c r="AL493" s="90" t="b">
        <v>0</v>
      </c>
      <c r="AM493" s="90">
        <v>18</v>
      </c>
      <c r="AN493" s="97" t="s">
        <v>1338</v>
      </c>
      <c r="AO493" s="97" t="s">
        <v>1450</v>
      </c>
      <c r="AP493" s="90" t="b">
        <v>0</v>
      </c>
      <c r="AQ493" s="97" t="s">
        <v>1196</v>
      </c>
      <c r="AR493" s="90" t="s">
        <v>187</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v>0</v>
      </c>
      <c r="BG493" s="50">
        <v>0</v>
      </c>
      <c r="BH493" s="49">
        <v>0</v>
      </c>
      <c r="BI493" s="50">
        <v>0</v>
      </c>
      <c r="BJ493" s="49">
        <v>0</v>
      </c>
      <c r="BK493" s="50">
        <v>0</v>
      </c>
      <c r="BL493" s="49">
        <v>13</v>
      </c>
      <c r="BM493" s="50">
        <v>100</v>
      </c>
      <c r="BN493" s="49">
        <v>13</v>
      </c>
    </row>
    <row r="494" spans="1:66" ht="15">
      <c r="A494" s="65" t="s">
        <v>324</v>
      </c>
      <c r="B494" s="65" t="s">
        <v>431</v>
      </c>
      <c r="C494" s="66" t="s">
        <v>5817</v>
      </c>
      <c r="D494" s="67">
        <v>1</v>
      </c>
      <c r="E494" s="68" t="s">
        <v>132</v>
      </c>
      <c r="F494" s="69">
        <v>32</v>
      </c>
      <c r="G494" s="66" t="s">
        <v>51</v>
      </c>
      <c r="H494" s="70"/>
      <c r="I494" s="71"/>
      <c r="J494" s="71"/>
      <c r="K494" s="35" t="s">
        <v>65</v>
      </c>
      <c r="L494" s="79">
        <v>494</v>
      </c>
      <c r="M494" s="79"/>
      <c r="N494" s="73"/>
      <c r="O494" s="90" t="s">
        <v>525</v>
      </c>
      <c r="P494" s="93">
        <v>44530.757418981484</v>
      </c>
      <c r="Q494" s="90" t="s">
        <v>576</v>
      </c>
      <c r="R494" s="90"/>
      <c r="S494" s="90"/>
      <c r="T494" s="97" t="s">
        <v>712</v>
      </c>
      <c r="U494" s="96" t="str">
        <f>HYPERLINK("https://pbs.twimg.com/media/FFc5qVTVQAkWXE2.jpg")</f>
        <v>https://pbs.twimg.com/media/FFc5qVTVQAkWXE2.jpg</v>
      </c>
      <c r="V494" s="96" t="str">
        <f>HYPERLINK("https://pbs.twimg.com/media/FFc5qVTVQAkWXE2.jpg")</f>
        <v>https://pbs.twimg.com/media/FFc5qVTVQAkWXE2.jpg</v>
      </c>
      <c r="W494" s="93">
        <v>44530.757418981484</v>
      </c>
      <c r="X494" s="100">
        <v>44530</v>
      </c>
      <c r="Y494" s="97" t="s">
        <v>945</v>
      </c>
      <c r="Z494" s="96" t="str">
        <f>HYPERLINK("https://twitter.com/mmaitoparta/status/1465745111430610946")</f>
        <v>https://twitter.com/mmaitoparta/status/1465745111430610946</v>
      </c>
      <c r="AA494" s="90"/>
      <c r="AB494" s="90"/>
      <c r="AC494" s="97" t="s">
        <v>1197</v>
      </c>
      <c r="AD494" s="90"/>
      <c r="AE494" s="90" t="b">
        <v>0</v>
      </c>
      <c r="AF494" s="90">
        <v>0</v>
      </c>
      <c r="AG494" s="97" t="s">
        <v>1338</v>
      </c>
      <c r="AH494" s="90" t="b">
        <v>0</v>
      </c>
      <c r="AI494" s="90" t="s">
        <v>1442</v>
      </c>
      <c r="AJ494" s="90"/>
      <c r="AK494" s="97" t="s">
        <v>1338</v>
      </c>
      <c r="AL494" s="90" t="b">
        <v>0</v>
      </c>
      <c r="AM494" s="90">
        <v>18</v>
      </c>
      <c r="AN494" s="97" t="s">
        <v>1196</v>
      </c>
      <c r="AO494" s="97" t="s">
        <v>1452</v>
      </c>
      <c r="AP494" s="90" t="b">
        <v>0</v>
      </c>
      <c r="AQ494" s="97" t="s">
        <v>1196</v>
      </c>
      <c r="AR494" s="90" t="s">
        <v>187</v>
      </c>
      <c r="AS494" s="90">
        <v>0</v>
      </c>
      <c r="AT494" s="90">
        <v>0</v>
      </c>
      <c r="AU494" s="90"/>
      <c r="AV494" s="90"/>
      <c r="AW494" s="90"/>
      <c r="AX494" s="90"/>
      <c r="AY494" s="90"/>
      <c r="AZ494" s="90"/>
      <c r="BA494" s="90"/>
      <c r="BB494" s="90"/>
      <c r="BC494">
        <v>1</v>
      </c>
      <c r="BD494" s="89" t="str">
        <f>REPLACE(INDEX(GroupVertices[Group],MATCH(Edges[[#This Row],[Vertex 1]],GroupVertices[Vertex],0)),1,1,"")</f>
        <v>3</v>
      </c>
      <c r="BE494" s="89" t="str">
        <f>REPLACE(INDEX(GroupVertices[Group],MATCH(Edges[[#This Row],[Vertex 2]],GroupVertices[Vertex],0)),1,1,"")</f>
        <v>3</v>
      </c>
      <c r="BF494" s="49"/>
      <c r="BG494" s="50"/>
      <c r="BH494" s="49"/>
      <c r="BI494" s="50"/>
      <c r="BJ494" s="49"/>
      <c r="BK494" s="50"/>
      <c r="BL494" s="49"/>
      <c r="BM494" s="50"/>
      <c r="BN494" s="49"/>
    </row>
    <row r="495" spans="1:66" ht="15">
      <c r="A495" s="65" t="s">
        <v>367</v>
      </c>
      <c r="B495" s="65" t="s">
        <v>431</v>
      </c>
      <c r="C495" s="66" t="s">
        <v>5817</v>
      </c>
      <c r="D495" s="67">
        <v>1</v>
      </c>
      <c r="E495" s="68" t="s">
        <v>132</v>
      </c>
      <c r="F495" s="69">
        <v>32</v>
      </c>
      <c r="G495" s="66" t="s">
        <v>51</v>
      </c>
      <c r="H495" s="70"/>
      <c r="I495" s="71"/>
      <c r="J495" s="71"/>
      <c r="K495" s="35" t="s">
        <v>65</v>
      </c>
      <c r="L495" s="79">
        <v>495</v>
      </c>
      <c r="M495" s="79"/>
      <c r="N495" s="73"/>
      <c r="O495" s="90" t="s">
        <v>525</v>
      </c>
      <c r="P495" s="93">
        <v>44530.75814814815</v>
      </c>
      <c r="Q495" s="90" t="s">
        <v>576</v>
      </c>
      <c r="R495" s="90"/>
      <c r="S495" s="90"/>
      <c r="T495" s="97" t="s">
        <v>712</v>
      </c>
      <c r="U495" s="96" t="str">
        <f>HYPERLINK("https://pbs.twimg.com/media/FFc5qVTVQAkWXE2.jpg")</f>
        <v>https://pbs.twimg.com/media/FFc5qVTVQAkWXE2.jpg</v>
      </c>
      <c r="V495" s="96" t="str">
        <f>HYPERLINK("https://pbs.twimg.com/media/FFc5qVTVQAkWXE2.jpg")</f>
        <v>https://pbs.twimg.com/media/FFc5qVTVQAkWXE2.jpg</v>
      </c>
      <c r="W495" s="93">
        <v>44530.75814814815</v>
      </c>
      <c r="X495" s="100">
        <v>44530</v>
      </c>
      <c r="Y495" s="97" t="s">
        <v>946</v>
      </c>
      <c r="Z495" s="96" t="str">
        <f>HYPERLINK("https://twitter.com/teetee63tee/status/1465745376074477576")</f>
        <v>https://twitter.com/teetee63tee/status/1465745376074477576</v>
      </c>
      <c r="AA495" s="90"/>
      <c r="AB495" s="90"/>
      <c r="AC495" s="97" t="s">
        <v>1198</v>
      </c>
      <c r="AD495" s="90"/>
      <c r="AE495" s="90" t="b">
        <v>0</v>
      </c>
      <c r="AF495" s="90">
        <v>0</v>
      </c>
      <c r="AG495" s="97" t="s">
        <v>1338</v>
      </c>
      <c r="AH495" s="90" t="b">
        <v>0</v>
      </c>
      <c r="AI495" s="90" t="s">
        <v>1442</v>
      </c>
      <c r="AJ495" s="90"/>
      <c r="AK495" s="97" t="s">
        <v>1338</v>
      </c>
      <c r="AL495" s="90" t="b">
        <v>0</v>
      </c>
      <c r="AM495" s="90">
        <v>18</v>
      </c>
      <c r="AN495" s="97" t="s">
        <v>1196</v>
      </c>
      <c r="AO495" s="97" t="s">
        <v>1450</v>
      </c>
      <c r="AP495" s="90" t="b">
        <v>0</v>
      </c>
      <c r="AQ495" s="97" t="s">
        <v>1196</v>
      </c>
      <c r="AR495" s="90" t="s">
        <v>187</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3</v>
      </c>
      <c r="BF495" s="49"/>
      <c r="BG495" s="50"/>
      <c r="BH495" s="49"/>
      <c r="BI495" s="50"/>
      <c r="BJ495" s="49"/>
      <c r="BK495" s="50"/>
      <c r="BL495" s="49"/>
      <c r="BM495" s="50"/>
      <c r="BN495" s="49"/>
    </row>
    <row r="496" spans="1:66" ht="15">
      <c r="A496" s="65" t="s">
        <v>367</v>
      </c>
      <c r="B496" s="65" t="s">
        <v>431</v>
      </c>
      <c r="C496" s="66" t="s">
        <v>5817</v>
      </c>
      <c r="D496" s="67">
        <v>1</v>
      </c>
      <c r="E496" s="68" t="s">
        <v>132</v>
      </c>
      <c r="F496" s="69">
        <v>32</v>
      </c>
      <c r="G496" s="66" t="s">
        <v>51</v>
      </c>
      <c r="H496" s="70"/>
      <c r="I496" s="71"/>
      <c r="J496" s="71"/>
      <c r="K496" s="35" t="s">
        <v>65</v>
      </c>
      <c r="L496" s="79">
        <v>496</v>
      </c>
      <c r="M496" s="79"/>
      <c r="N496" s="73"/>
      <c r="O496" s="90" t="s">
        <v>524</v>
      </c>
      <c r="P496" s="93">
        <v>44530.75848379629</v>
      </c>
      <c r="Q496" s="90" t="s">
        <v>612</v>
      </c>
      <c r="R496" s="90"/>
      <c r="S496" s="90"/>
      <c r="T496" s="90"/>
      <c r="U496" s="90"/>
      <c r="V496" s="96" t="str">
        <f>HYPERLINK("https://pbs.twimg.com/profile_images/1465970962550214656/3RsuSP0L_normal.jpg")</f>
        <v>https://pbs.twimg.com/profile_images/1465970962550214656/3RsuSP0L_normal.jpg</v>
      </c>
      <c r="W496" s="93">
        <v>44530.75848379629</v>
      </c>
      <c r="X496" s="100">
        <v>44530</v>
      </c>
      <c r="Y496" s="97" t="s">
        <v>947</v>
      </c>
      <c r="Z496" s="96" t="str">
        <f>HYPERLINK("https://twitter.com/teetee63tee/status/1465745495847014405")</f>
        <v>https://twitter.com/teetee63tee/status/1465745495847014405</v>
      </c>
      <c r="AA496" s="90"/>
      <c r="AB496" s="90"/>
      <c r="AC496" s="97" t="s">
        <v>1199</v>
      </c>
      <c r="AD496" s="97" t="s">
        <v>1196</v>
      </c>
      <c r="AE496" s="90" t="b">
        <v>0</v>
      </c>
      <c r="AF496" s="90">
        <v>3</v>
      </c>
      <c r="AG496" s="97" t="s">
        <v>1425</v>
      </c>
      <c r="AH496" s="90" t="b">
        <v>0</v>
      </c>
      <c r="AI496" s="90" t="s">
        <v>1444</v>
      </c>
      <c r="AJ496" s="90"/>
      <c r="AK496" s="97" t="s">
        <v>1338</v>
      </c>
      <c r="AL496" s="90" t="b">
        <v>0</v>
      </c>
      <c r="AM496" s="90">
        <v>1</v>
      </c>
      <c r="AN496" s="97" t="s">
        <v>1338</v>
      </c>
      <c r="AO496" s="97" t="s">
        <v>1450</v>
      </c>
      <c r="AP496" s="90" t="b">
        <v>0</v>
      </c>
      <c r="AQ496" s="97" t="s">
        <v>1196</v>
      </c>
      <c r="AR496" s="90" t="s">
        <v>187</v>
      </c>
      <c r="AS496" s="90">
        <v>0</v>
      </c>
      <c r="AT496" s="90">
        <v>0</v>
      </c>
      <c r="AU496" s="90"/>
      <c r="AV496" s="90"/>
      <c r="AW496" s="90"/>
      <c r="AX496" s="90"/>
      <c r="AY496" s="90"/>
      <c r="AZ496" s="90"/>
      <c r="BA496" s="90"/>
      <c r="BB496" s="90"/>
      <c r="BC496">
        <v>1</v>
      </c>
      <c r="BD496" s="89" t="str">
        <f>REPLACE(INDEX(GroupVertices[Group],MATCH(Edges[[#This Row],[Vertex 1]],GroupVertices[Vertex],0)),1,1,"")</f>
        <v>3</v>
      </c>
      <c r="BE496" s="89" t="str">
        <f>REPLACE(INDEX(GroupVertices[Group],MATCH(Edges[[#This Row],[Vertex 2]],GroupVertices[Vertex],0)),1,1,"")</f>
        <v>3</v>
      </c>
      <c r="BF496" s="49"/>
      <c r="BG496" s="50"/>
      <c r="BH496" s="49"/>
      <c r="BI496" s="50"/>
      <c r="BJ496" s="49"/>
      <c r="BK496" s="50"/>
      <c r="BL496" s="49"/>
      <c r="BM496" s="50"/>
      <c r="BN496" s="49"/>
    </row>
    <row r="497" spans="1:66" ht="15">
      <c r="A497" s="65" t="s">
        <v>324</v>
      </c>
      <c r="B497" s="65" t="s">
        <v>368</v>
      </c>
      <c r="C497" s="66" t="s">
        <v>5817</v>
      </c>
      <c r="D497" s="67">
        <v>1</v>
      </c>
      <c r="E497" s="68" t="s">
        <v>132</v>
      </c>
      <c r="F497" s="69">
        <v>32</v>
      </c>
      <c r="G497" s="66" t="s">
        <v>51</v>
      </c>
      <c r="H497" s="70"/>
      <c r="I497" s="71"/>
      <c r="J497" s="71"/>
      <c r="K497" s="35" t="s">
        <v>65</v>
      </c>
      <c r="L497" s="79">
        <v>497</v>
      </c>
      <c r="M497" s="79"/>
      <c r="N497" s="73"/>
      <c r="O497" s="90" t="s">
        <v>522</v>
      </c>
      <c r="P497" s="93">
        <v>44530.757418981484</v>
      </c>
      <c r="Q497" s="90" t="s">
        <v>576</v>
      </c>
      <c r="R497" s="90"/>
      <c r="S497" s="90"/>
      <c r="T497" s="97" t="s">
        <v>712</v>
      </c>
      <c r="U497" s="96" t="str">
        <f>HYPERLINK("https://pbs.twimg.com/media/FFc5qVTVQAkWXE2.jpg")</f>
        <v>https://pbs.twimg.com/media/FFc5qVTVQAkWXE2.jpg</v>
      </c>
      <c r="V497" s="96" t="str">
        <f>HYPERLINK("https://pbs.twimg.com/media/FFc5qVTVQAkWXE2.jpg")</f>
        <v>https://pbs.twimg.com/media/FFc5qVTVQAkWXE2.jpg</v>
      </c>
      <c r="W497" s="93">
        <v>44530.757418981484</v>
      </c>
      <c r="X497" s="100">
        <v>44530</v>
      </c>
      <c r="Y497" s="97" t="s">
        <v>945</v>
      </c>
      <c r="Z497" s="96" t="str">
        <f>HYPERLINK("https://twitter.com/mmaitoparta/status/1465745111430610946")</f>
        <v>https://twitter.com/mmaitoparta/status/1465745111430610946</v>
      </c>
      <c r="AA497" s="90"/>
      <c r="AB497" s="90"/>
      <c r="AC497" s="97" t="s">
        <v>1197</v>
      </c>
      <c r="AD497" s="90"/>
      <c r="AE497" s="90" t="b">
        <v>0</v>
      </c>
      <c r="AF497" s="90">
        <v>0</v>
      </c>
      <c r="AG497" s="97" t="s">
        <v>1338</v>
      </c>
      <c r="AH497" s="90" t="b">
        <v>0</v>
      </c>
      <c r="AI497" s="90" t="s">
        <v>1442</v>
      </c>
      <c r="AJ497" s="90"/>
      <c r="AK497" s="97" t="s">
        <v>1338</v>
      </c>
      <c r="AL497" s="90" t="b">
        <v>0</v>
      </c>
      <c r="AM497" s="90">
        <v>18</v>
      </c>
      <c r="AN497" s="97" t="s">
        <v>1196</v>
      </c>
      <c r="AO497" s="97" t="s">
        <v>1452</v>
      </c>
      <c r="AP497" s="90" t="b">
        <v>0</v>
      </c>
      <c r="AQ497" s="97" t="s">
        <v>1196</v>
      </c>
      <c r="AR497" s="90" t="s">
        <v>187</v>
      </c>
      <c r="AS497" s="90">
        <v>0</v>
      </c>
      <c r="AT497" s="90">
        <v>0</v>
      </c>
      <c r="AU497" s="90"/>
      <c r="AV497" s="90"/>
      <c r="AW497" s="90"/>
      <c r="AX497" s="90"/>
      <c r="AY497" s="90"/>
      <c r="AZ497" s="90"/>
      <c r="BA497" s="90"/>
      <c r="BB497" s="90"/>
      <c r="BC497">
        <v>1</v>
      </c>
      <c r="BD497" s="89" t="str">
        <f>REPLACE(INDEX(GroupVertices[Group],MATCH(Edges[[#This Row],[Vertex 1]],GroupVertices[Vertex],0)),1,1,"")</f>
        <v>3</v>
      </c>
      <c r="BE497" s="89" t="str">
        <f>REPLACE(INDEX(GroupVertices[Group],MATCH(Edges[[#This Row],[Vertex 2]],GroupVertices[Vertex],0)),1,1,"")</f>
        <v>3</v>
      </c>
      <c r="BF497" s="49">
        <v>0</v>
      </c>
      <c r="BG497" s="50">
        <v>0</v>
      </c>
      <c r="BH497" s="49">
        <v>0</v>
      </c>
      <c r="BI497" s="50">
        <v>0</v>
      </c>
      <c r="BJ497" s="49">
        <v>0</v>
      </c>
      <c r="BK497" s="50">
        <v>0</v>
      </c>
      <c r="BL497" s="49">
        <v>13</v>
      </c>
      <c r="BM497" s="50">
        <v>100</v>
      </c>
      <c r="BN497" s="49">
        <v>13</v>
      </c>
    </row>
    <row r="498" spans="1:66" ht="15">
      <c r="A498" s="65" t="s">
        <v>367</v>
      </c>
      <c r="B498" s="65" t="s">
        <v>324</v>
      </c>
      <c r="C498" s="66" t="s">
        <v>5817</v>
      </c>
      <c r="D498" s="67">
        <v>1</v>
      </c>
      <c r="E498" s="68" t="s">
        <v>132</v>
      </c>
      <c r="F498" s="69">
        <v>32</v>
      </c>
      <c r="G498" s="66" t="s">
        <v>51</v>
      </c>
      <c r="H498" s="70"/>
      <c r="I498" s="71"/>
      <c r="J498" s="71"/>
      <c r="K498" s="35" t="s">
        <v>65</v>
      </c>
      <c r="L498" s="79">
        <v>498</v>
      </c>
      <c r="M498" s="79"/>
      <c r="N498" s="73"/>
      <c r="O498" s="90" t="s">
        <v>524</v>
      </c>
      <c r="P498" s="93">
        <v>44530.75848379629</v>
      </c>
      <c r="Q498" s="90" t="s">
        <v>612</v>
      </c>
      <c r="R498" s="90"/>
      <c r="S498" s="90"/>
      <c r="T498" s="90"/>
      <c r="U498" s="90"/>
      <c r="V498" s="96" t="str">
        <f>HYPERLINK("https://pbs.twimg.com/profile_images/1465970962550214656/3RsuSP0L_normal.jpg")</f>
        <v>https://pbs.twimg.com/profile_images/1465970962550214656/3RsuSP0L_normal.jpg</v>
      </c>
      <c r="W498" s="93">
        <v>44530.75848379629</v>
      </c>
      <c r="X498" s="100">
        <v>44530</v>
      </c>
      <c r="Y498" s="97" t="s">
        <v>947</v>
      </c>
      <c r="Z498" s="96" t="str">
        <f>HYPERLINK("https://twitter.com/teetee63tee/status/1465745495847014405")</f>
        <v>https://twitter.com/teetee63tee/status/1465745495847014405</v>
      </c>
      <c r="AA498" s="90"/>
      <c r="AB498" s="90"/>
      <c r="AC498" s="97" t="s">
        <v>1199</v>
      </c>
      <c r="AD498" s="97" t="s">
        <v>1196</v>
      </c>
      <c r="AE498" s="90" t="b">
        <v>0</v>
      </c>
      <c r="AF498" s="90">
        <v>3</v>
      </c>
      <c r="AG498" s="97" t="s">
        <v>1425</v>
      </c>
      <c r="AH498" s="90" t="b">
        <v>0</v>
      </c>
      <c r="AI498" s="90" t="s">
        <v>1444</v>
      </c>
      <c r="AJ498" s="90"/>
      <c r="AK498" s="97" t="s">
        <v>1338</v>
      </c>
      <c r="AL498" s="90" t="b">
        <v>0</v>
      </c>
      <c r="AM498" s="90">
        <v>1</v>
      </c>
      <c r="AN498" s="97" t="s">
        <v>1338</v>
      </c>
      <c r="AO498" s="97" t="s">
        <v>1450</v>
      </c>
      <c r="AP498" s="90" t="b">
        <v>0</v>
      </c>
      <c r="AQ498" s="97" t="s">
        <v>1196</v>
      </c>
      <c r="AR498" s="90" t="s">
        <v>187</v>
      </c>
      <c r="AS498" s="90">
        <v>0</v>
      </c>
      <c r="AT498" s="90">
        <v>0</v>
      </c>
      <c r="AU498" s="90"/>
      <c r="AV498" s="90"/>
      <c r="AW498" s="90"/>
      <c r="AX498" s="90"/>
      <c r="AY498" s="90"/>
      <c r="AZ498" s="90"/>
      <c r="BA498" s="90"/>
      <c r="BB498" s="90"/>
      <c r="BC498">
        <v>1</v>
      </c>
      <c r="BD498" s="89" t="str">
        <f>REPLACE(INDEX(GroupVertices[Group],MATCH(Edges[[#This Row],[Vertex 1]],GroupVertices[Vertex],0)),1,1,"")</f>
        <v>3</v>
      </c>
      <c r="BE498" s="89" t="str">
        <f>REPLACE(INDEX(GroupVertices[Group],MATCH(Edges[[#This Row],[Vertex 2]],GroupVertices[Vertex],0)),1,1,"")</f>
        <v>3</v>
      </c>
      <c r="BF498" s="49"/>
      <c r="BG498" s="50"/>
      <c r="BH498" s="49"/>
      <c r="BI498" s="50"/>
      <c r="BJ498" s="49"/>
      <c r="BK498" s="50"/>
      <c r="BL498" s="49"/>
      <c r="BM498" s="50"/>
      <c r="BN498" s="49"/>
    </row>
    <row r="499" spans="1:66" ht="15">
      <c r="A499" s="65" t="s">
        <v>367</v>
      </c>
      <c r="B499" s="65" t="s">
        <v>368</v>
      </c>
      <c r="C499" s="66" t="s">
        <v>5817</v>
      </c>
      <c r="D499" s="67">
        <v>1</v>
      </c>
      <c r="E499" s="68" t="s">
        <v>132</v>
      </c>
      <c r="F499" s="69">
        <v>32</v>
      </c>
      <c r="G499" s="66" t="s">
        <v>51</v>
      </c>
      <c r="H499" s="70"/>
      <c r="I499" s="71"/>
      <c r="J499" s="71"/>
      <c r="K499" s="35" t="s">
        <v>65</v>
      </c>
      <c r="L499" s="79">
        <v>499</v>
      </c>
      <c r="M499" s="79"/>
      <c r="N499" s="73"/>
      <c r="O499" s="90" t="s">
        <v>522</v>
      </c>
      <c r="P499" s="93">
        <v>44530.75814814815</v>
      </c>
      <c r="Q499" s="90" t="s">
        <v>576</v>
      </c>
      <c r="R499" s="90"/>
      <c r="S499" s="90"/>
      <c r="T499" s="97" t="s">
        <v>712</v>
      </c>
      <c r="U499" s="96" t="str">
        <f>HYPERLINK("https://pbs.twimg.com/media/FFc5qVTVQAkWXE2.jpg")</f>
        <v>https://pbs.twimg.com/media/FFc5qVTVQAkWXE2.jpg</v>
      </c>
      <c r="V499" s="96" t="str">
        <f>HYPERLINK("https://pbs.twimg.com/media/FFc5qVTVQAkWXE2.jpg")</f>
        <v>https://pbs.twimg.com/media/FFc5qVTVQAkWXE2.jpg</v>
      </c>
      <c r="W499" s="93">
        <v>44530.75814814815</v>
      </c>
      <c r="X499" s="100">
        <v>44530</v>
      </c>
      <c r="Y499" s="97" t="s">
        <v>946</v>
      </c>
      <c r="Z499" s="96" t="str">
        <f>HYPERLINK("https://twitter.com/teetee63tee/status/1465745376074477576")</f>
        <v>https://twitter.com/teetee63tee/status/1465745376074477576</v>
      </c>
      <c r="AA499" s="90"/>
      <c r="AB499" s="90"/>
      <c r="AC499" s="97" t="s">
        <v>1198</v>
      </c>
      <c r="AD499" s="90"/>
      <c r="AE499" s="90" t="b">
        <v>0</v>
      </c>
      <c r="AF499" s="90">
        <v>0</v>
      </c>
      <c r="AG499" s="97" t="s">
        <v>1338</v>
      </c>
      <c r="AH499" s="90" t="b">
        <v>0</v>
      </c>
      <c r="AI499" s="90" t="s">
        <v>1442</v>
      </c>
      <c r="AJ499" s="90"/>
      <c r="AK499" s="97" t="s">
        <v>1338</v>
      </c>
      <c r="AL499" s="90" t="b">
        <v>0</v>
      </c>
      <c r="AM499" s="90">
        <v>18</v>
      </c>
      <c r="AN499" s="97" t="s">
        <v>1196</v>
      </c>
      <c r="AO499" s="97" t="s">
        <v>1450</v>
      </c>
      <c r="AP499" s="90" t="b">
        <v>0</v>
      </c>
      <c r="AQ499" s="97" t="s">
        <v>1196</v>
      </c>
      <c r="AR499" s="90" t="s">
        <v>187</v>
      </c>
      <c r="AS499" s="90">
        <v>0</v>
      </c>
      <c r="AT499" s="90">
        <v>0</v>
      </c>
      <c r="AU499" s="90"/>
      <c r="AV499" s="90"/>
      <c r="AW499" s="90"/>
      <c r="AX499" s="90"/>
      <c r="AY499" s="90"/>
      <c r="AZ499" s="90"/>
      <c r="BA499" s="90"/>
      <c r="BB499" s="90"/>
      <c r="BC499">
        <v>1</v>
      </c>
      <c r="BD499" s="89" t="str">
        <f>REPLACE(INDEX(GroupVertices[Group],MATCH(Edges[[#This Row],[Vertex 1]],GroupVertices[Vertex],0)),1,1,"")</f>
        <v>3</v>
      </c>
      <c r="BE499" s="89" t="str">
        <f>REPLACE(INDEX(GroupVertices[Group],MATCH(Edges[[#This Row],[Vertex 2]],GroupVertices[Vertex],0)),1,1,"")</f>
        <v>3</v>
      </c>
      <c r="BF499" s="49">
        <v>0</v>
      </c>
      <c r="BG499" s="50">
        <v>0</v>
      </c>
      <c r="BH499" s="49">
        <v>0</v>
      </c>
      <c r="BI499" s="50">
        <v>0</v>
      </c>
      <c r="BJ499" s="49">
        <v>0</v>
      </c>
      <c r="BK499" s="50">
        <v>0</v>
      </c>
      <c r="BL499" s="49">
        <v>13</v>
      </c>
      <c r="BM499" s="50">
        <v>100</v>
      </c>
      <c r="BN499" s="49">
        <v>13</v>
      </c>
    </row>
    <row r="500" spans="1:66" ht="15">
      <c r="A500" s="65" t="s">
        <v>367</v>
      </c>
      <c r="B500" s="65" t="s">
        <v>368</v>
      </c>
      <c r="C500" s="66" t="s">
        <v>5817</v>
      </c>
      <c r="D500" s="67">
        <v>1</v>
      </c>
      <c r="E500" s="68" t="s">
        <v>132</v>
      </c>
      <c r="F500" s="69">
        <v>32</v>
      </c>
      <c r="G500" s="66" t="s">
        <v>51</v>
      </c>
      <c r="H500" s="70"/>
      <c r="I500" s="71"/>
      <c r="J500" s="71"/>
      <c r="K500" s="35" t="s">
        <v>65</v>
      </c>
      <c r="L500" s="79">
        <v>500</v>
      </c>
      <c r="M500" s="79"/>
      <c r="N500" s="73"/>
      <c r="O500" s="90" t="s">
        <v>523</v>
      </c>
      <c r="P500" s="93">
        <v>44530.75848379629</v>
      </c>
      <c r="Q500" s="90" t="s">
        <v>612</v>
      </c>
      <c r="R500" s="90"/>
      <c r="S500" s="90"/>
      <c r="T500" s="90"/>
      <c r="U500" s="90"/>
      <c r="V500" s="96" t="str">
        <f>HYPERLINK("https://pbs.twimg.com/profile_images/1465970962550214656/3RsuSP0L_normal.jpg")</f>
        <v>https://pbs.twimg.com/profile_images/1465970962550214656/3RsuSP0L_normal.jpg</v>
      </c>
      <c r="W500" s="93">
        <v>44530.75848379629</v>
      </c>
      <c r="X500" s="100">
        <v>44530</v>
      </c>
      <c r="Y500" s="97" t="s">
        <v>947</v>
      </c>
      <c r="Z500" s="96" t="str">
        <f>HYPERLINK("https://twitter.com/teetee63tee/status/1465745495847014405")</f>
        <v>https://twitter.com/teetee63tee/status/1465745495847014405</v>
      </c>
      <c r="AA500" s="90"/>
      <c r="AB500" s="90"/>
      <c r="AC500" s="97" t="s">
        <v>1199</v>
      </c>
      <c r="AD500" s="97" t="s">
        <v>1196</v>
      </c>
      <c r="AE500" s="90" t="b">
        <v>0</v>
      </c>
      <c r="AF500" s="90">
        <v>3</v>
      </c>
      <c r="AG500" s="97" t="s">
        <v>1425</v>
      </c>
      <c r="AH500" s="90" t="b">
        <v>0</v>
      </c>
      <c r="AI500" s="90" t="s">
        <v>1444</v>
      </c>
      <c r="AJ500" s="90"/>
      <c r="AK500" s="97" t="s">
        <v>1338</v>
      </c>
      <c r="AL500" s="90" t="b">
        <v>0</v>
      </c>
      <c r="AM500" s="90">
        <v>1</v>
      </c>
      <c r="AN500" s="97" t="s">
        <v>1338</v>
      </c>
      <c r="AO500" s="97" t="s">
        <v>1450</v>
      </c>
      <c r="AP500" s="90" t="b">
        <v>0</v>
      </c>
      <c r="AQ500" s="97" t="s">
        <v>1196</v>
      </c>
      <c r="AR500" s="90" t="s">
        <v>187</v>
      </c>
      <c r="AS500" s="90">
        <v>0</v>
      </c>
      <c r="AT500" s="90">
        <v>0</v>
      </c>
      <c r="AU500" s="90"/>
      <c r="AV500" s="90"/>
      <c r="AW500" s="90"/>
      <c r="AX500" s="90"/>
      <c r="AY500" s="90"/>
      <c r="AZ500" s="90"/>
      <c r="BA500" s="90"/>
      <c r="BB500" s="90"/>
      <c r="BC500">
        <v>1</v>
      </c>
      <c r="BD500" s="89" t="str">
        <f>REPLACE(INDEX(GroupVertices[Group],MATCH(Edges[[#This Row],[Vertex 1]],GroupVertices[Vertex],0)),1,1,"")</f>
        <v>3</v>
      </c>
      <c r="BE500" s="89" t="str">
        <f>REPLACE(INDEX(GroupVertices[Group],MATCH(Edges[[#This Row],[Vertex 2]],GroupVertices[Vertex],0)),1,1,"")</f>
        <v>3</v>
      </c>
      <c r="BF500" s="49">
        <v>0</v>
      </c>
      <c r="BG500" s="50">
        <v>0</v>
      </c>
      <c r="BH500" s="49">
        <v>0</v>
      </c>
      <c r="BI500" s="50">
        <v>0</v>
      </c>
      <c r="BJ500" s="49">
        <v>0</v>
      </c>
      <c r="BK500" s="50">
        <v>0</v>
      </c>
      <c r="BL500" s="49">
        <v>5</v>
      </c>
      <c r="BM500" s="50">
        <v>100</v>
      </c>
      <c r="BN500" s="49">
        <v>5</v>
      </c>
    </row>
    <row r="501" spans="1:66" ht="15">
      <c r="A501" s="65" t="s">
        <v>367</v>
      </c>
      <c r="B501" s="65" t="s">
        <v>385</v>
      </c>
      <c r="C501" s="66" t="s">
        <v>5818</v>
      </c>
      <c r="D501" s="67">
        <v>1</v>
      </c>
      <c r="E501" s="68" t="s">
        <v>132</v>
      </c>
      <c r="F501" s="69">
        <v>32</v>
      </c>
      <c r="G501" s="66" t="s">
        <v>51</v>
      </c>
      <c r="H501" s="70"/>
      <c r="I501" s="71"/>
      <c r="J501" s="71"/>
      <c r="K501" s="35" t="s">
        <v>65</v>
      </c>
      <c r="L501" s="79">
        <v>501</v>
      </c>
      <c r="M501" s="79"/>
      <c r="N501" s="73"/>
      <c r="O501" s="90" t="s">
        <v>523</v>
      </c>
      <c r="P501" s="93">
        <v>44530.41261574074</v>
      </c>
      <c r="Q501" s="90" t="s">
        <v>673</v>
      </c>
      <c r="R501" s="90"/>
      <c r="S501" s="90"/>
      <c r="T501" s="90"/>
      <c r="U501" s="90"/>
      <c r="V501" s="96" t="str">
        <f>HYPERLINK("https://pbs.twimg.com/profile_images/1465970962550214656/3RsuSP0L_normal.jpg")</f>
        <v>https://pbs.twimg.com/profile_images/1465970962550214656/3RsuSP0L_normal.jpg</v>
      </c>
      <c r="W501" s="93">
        <v>44530.41261574074</v>
      </c>
      <c r="X501" s="100">
        <v>44530</v>
      </c>
      <c r="Y501" s="97" t="s">
        <v>942</v>
      </c>
      <c r="Z501" s="96" t="str">
        <f>HYPERLINK("https://twitter.com/teetee63tee/status/1465620157515108354")</f>
        <v>https://twitter.com/teetee63tee/status/1465620157515108354</v>
      </c>
      <c r="AA501" s="90"/>
      <c r="AB501" s="90"/>
      <c r="AC501" s="97" t="s">
        <v>1194</v>
      </c>
      <c r="AD501" s="97" t="s">
        <v>1323</v>
      </c>
      <c r="AE501" s="90" t="b">
        <v>0</v>
      </c>
      <c r="AF501" s="90">
        <v>5</v>
      </c>
      <c r="AG501" s="97" t="s">
        <v>1342</v>
      </c>
      <c r="AH501" s="90" t="b">
        <v>0</v>
      </c>
      <c r="AI501" s="90" t="s">
        <v>1444</v>
      </c>
      <c r="AJ501" s="90"/>
      <c r="AK501" s="97" t="s">
        <v>1338</v>
      </c>
      <c r="AL501" s="90" t="b">
        <v>0</v>
      </c>
      <c r="AM501" s="90">
        <v>0</v>
      </c>
      <c r="AN501" s="97" t="s">
        <v>1338</v>
      </c>
      <c r="AO501" s="97" t="s">
        <v>1450</v>
      </c>
      <c r="AP501" s="90" t="b">
        <v>0</v>
      </c>
      <c r="AQ501" s="97" t="s">
        <v>1323</v>
      </c>
      <c r="AR501" s="90" t="s">
        <v>187</v>
      </c>
      <c r="AS501" s="90">
        <v>0</v>
      </c>
      <c r="AT501" s="90">
        <v>0</v>
      </c>
      <c r="AU501" s="90"/>
      <c r="AV501" s="90"/>
      <c r="AW501" s="90"/>
      <c r="AX501" s="90"/>
      <c r="AY501" s="90"/>
      <c r="AZ501" s="90"/>
      <c r="BA501" s="90"/>
      <c r="BB501" s="90"/>
      <c r="BC501">
        <v>3</v>
      </c>
      <c r="BD501" s="89" t="str">
        <f>REPLACE(INDEX(GroupVertices[Group],MATCH(Edges[[#This Row],[Vertex 1]],GroupVertices[Vertex],0)),1,1,"")</f>
        <v>3</v>
      </c>
      <c r="BE501" s="89" t="str">
        <f>REPLACE(INDEX(GroupVertices[Group],MATCH(Edges[[#This Row],[Vertex 2]],GroupVertices[Vertex],0)),1,1,"")</f>
        <v>6</v>
      </c>
      <c r="BF501" s="49"/>
      <c r="BG501" s="50"/>
      <c r="BH501" s="49"/>
      <c r="BI501" s="50"/>
      <c r="BJ501" s="49"/>
      <c r="BK501" s="50"/>
      <c r="BL501" s="49"/>
      <c r="BM501" s="50"/>
      <c r="BN501" s="49"/>
    </row>
    <row r="502" spans="1:66" ht="15">
      <c r="A502" s="65" t="s">
        <v>367</v>
      </c>
      <c r="B502" s="65" t="s">
        <v>385</v>
      </c>
      <c r="C502" s="66" t="s">
        <v>5818</v>
      </c>
      <c r="D502" s="67">
        <v>1</v>
      </c>
      <c r="E502" s="68" t="s">
        <v>132</v>
      </c>
      <c r="F502" s="69">
        <v>32</v>
      </c>
      <c r="G502" s="66" t="s">
        <v>51</v>
      </c>
      <c r="H502" s="70"/>
      <c r="I502" s="71"/>
      <c r="J502" s="71"/>
      <c r="K502" s="35" t="s">
        <v>65</v>
      </c>
      <c r="L502" s="79">
        <v>502</v>
      </c>
      <c r="M502" s="79"/>
      <c r="N502" s="73"/>
      <c r="O502" s="90" t="s">
        <v>523</v>
      </c>
      <c r="P502" s="93">
        <v>44530.63454861111</v>
      </c>
      <c r="Q502" s="90" t="s">
        <v>673</v>
      </c>
      <c r="R502" s="90"/>
      <c r="S502" s="90"/>
      <c r="T502" s="90"/>
      <c r="U502" s="90"/>
      <c r="V502" s="96" t="str">
        <f>HYPERLINK("https://pbs.twimg.com/profile_images/1465970962550214656/3RsuSP0L_normal.jpg")</f>
        <v>https://pbs.twimg.com/profile_images/1465970962550214656/3RsuSP0L_normal.jpg</v>
      </c>
      <c r="W502" s="93">
        <v>44530.63454861111</v>
      </c>
      <c r="X502" s="100">
        <v>44530</v>
      </c>
      <c r="Y502" s="97" t="s">
        <v>943</v>
      </c>
      <c r="Z502" s="96" t="str">
        <f>HYPERLINK("https://twitter.com/teetee63tee/status/1465700583214501895")</f>
        <v>https://twitter.com/teetee63tee/status/1465700583214501895</v>
      </c>
      <c r="AA502" s="90"/>
      <c r="AB502" s="90"/>
      <c r="AC502" s="97" t="s">
        <v>1195</v>
      </c>
      <c r="AD502" s="97" t="s">
        <v>1324</v>
      </c>
      <c r="AE502" s="90" t="b">
        <v>0</v>
      </c>
      <c r="AF502" s="90">
        <v>0</v>
      </c>
      <c r="AG502" s="97" t="s">
        <v>1342</v>
      </c>
      <c r="AH502" s="90" t="b">
        <v>0</v>
      </c>
      <c r="AI502" s="90" t="s">
        <v>1444</v>
      </c>
      <c r="AJ502" s="90"/>
      <c r="AK502" s="97" t="s">
        <v>1338</v>
      </c>
      <c r="AL502" s="90" t="b">
        <v>0</v>
      </c>
      <c r="AM502" s="90">
        <v>0</v>
      </c>
      <c r="AN502" s="97" t="s">
        <v>1338</v>
      </c>
      <c r="AO502" s="97" t="s">
        <v>1450</v>
      </c>
      <c r="AP502" s="90" t="b">
        <v>0</v>
      </c>
      <c r="AQ502" s="97" t="s">
        <v>1324</v>
      </c>
      <c r="AR502" s="90" t="s">
        <v>187</v>
      </c>
      <c r="AS502" s="90">
        <v>0</v>
      </c>
      <c r="AT502" s="90">
        <v>0</v>
      </c>
      <c r="AU502" s="90"/>
      <c r="AV502" s="90"/>
      <c r="AW502" s="90"/>
      <c r="AX502" s="90"/>
      <c r="AY502" s="90"/>
      <c r="AZ502" s="90"/>
      <c r="BA502" s="90"/>
      <c r="BB502" s="90"/>
      <c r="BC502">
        <v>3</v>
      </c>
      <c r="BD502" s="89" t="str">
        <f>REPLACE(INDEX(GroupVertices[Group],MATCH(Edges[[#This Row],[Vertex 1]],GroupVertices[Vertex],0)),1,1,"")</f>
        <v>3</v>
      </c>
      <c r="BE502" s="89" t="str">
        <f>REPLACE(INDEX(GroupVertices[Group],MATCH(Edges[[#This Row],[Vertex 2]],GroupVertices[Vertex],0)),1,1,"")</f>
        <v>6</v>
      </c>
      <c r="BF502" s="49"/>
      <c r="BG502" s="50"/>
      <c r="BH502" s="49"/>
      <c r="BI502" s="50"/>
      <c r="BJ502" s="49"/>
      <c r="BK502" s="50"/>
      <c r="BL502" s="49"/>
      <c r="BM502" s="50"/>
      <c r="BN502" s="49"/>
    </row>
    <row r="503" spans="1:66" ht="15">
      <c r="A503" s="65" t="s">
        <v>367</v>
      </c>
      <c r="B503" s="65" t="s">
        <v>385</v>
      </c>
      <c r="C503" s="66" t="s">
        <v>5818</v>
      </c>
      <c r="D503" s="67">
        <v>1</v>
      </c>
      <c r="E503" s="68" t="s">
        <v>132</v>
      </c>
      <c r="F503" s="69">
        <v>32</v>
      </c>
      <c r="G503" s="66" t="s">
        <v>51</v>
      </c>
      <c r="H503" s="70"/>
      <c r="I503" s="71"/>
      <c r="J503" s="71"/>
      <c r="K503" s="35" t="s">
        <v>65</v>
      </c>
      <c r="L503" s="79">
        <v>503</v>
      </c>
      <c r="M503" s="79"/>
      <c r="N503" s="73"/>
      <c r="O503" s="90" t="s">
        <v>523</v>
      </c>
      <c r="P503" s="93">
        <v>44532.37296296296</v>
      </c>
      <c r="Q503" s="90" t="s">
        <v>674</v>
      </c>
      <c r="R503" s="90"/>
      <c r="S503" s="90"/>
      <c r="T503" s="90"/>
      <c r="U503" s="90"/>
      <c r="V503" s="96" t="str">
        <f>HYPERLINK("https://pbs.twimg.com/profile_images/1465970962550214656/3RsuSP0L_normal.jpg")</f>
        <v>https://pbs.twimg.com/profile_images/1465970962550214656/3RsuSP0L_normal.jpg</v>
      </c>
      <c r="W503" s="93">
        <v>44532.37296296296</v>
      </c>
      <c r="X503" s="100">
        <v>44532</v>
      </c>
      <c r="Y503" s="97" t="s">
        <v>948</v>
      </c>
      <c r="Z503" s="96" t="str">
        <f>HYPERLINK("https://twitter.com/teetee63tee/status/1466330564449947648")</f>
        <v>https://twitter.com/teetee63tee/status/1466330564449947648</v>
      </c>
      <c r="AA503" s="90"/>
      <c r="AB503" s="90"/>
      <c r="AC503" s="97" t="s">
        <v>1200</v>
      </c>
      <c r="AD503" s="97" t="s">
        <v>1309</v>
      </c>
      <c r="AE503" s="90" t="b">
        <v>0</v>
      </c>
      <c r="AF503" s="90">
        <v>1</v>
      </c>
      <c r="AG503" s="97" t="s">
        <v>1342</v>
      </c>
      <c r="AH503" s="90" t="b">
        <v>0</v>
      </c>
      <c r="AI503" s="90" t="s">
        <v>1444</v>
      </c>
      <c r="AJ503" s="90"/>
      <c r="AK503" s="97" t="s">
        <v>1338</v>
      </c>
      <c r="AL503" s="90" t="b">
        <v>0</v>
      </c>
      <c r="AM503" s="90">
        <v>0</v>
      </c>
      <c r="AN503" s="97" t="s">
        <v>1338</v>
      </c>
      <c r="AO503" s="97" t="s">
        <v>1450</v>
      </c>
      <c r="AP503" s="90" t="b">
        <v>0</v>
      </c>
      <c r="AQ503" s="97" t="s">
        <v>1309</v>
      </c>
      <c r="AR503" s="90" t="s">
        <v>187</v>
      </c>
      <c r="AS503" s="90">
        <v>0</v>
      </c>
      <c r="AT503" s="90">
        <v>0</v>
      </c>
      <c r="AU503" s="90"/>
      <c r="AV503" s="90"/>
      <c r="AW503" s="90"/>
      <c r="AX503" s="90"/>
      <c r="AY503" s="90"/>
      <c r="AZ503" s="90"/>
      <c r="BA503" s="90"/>
      <c r="BB503" s="90"/>
      <c r="BC503">
        <v>3</v>
      </c>
      <c r="BD503" s="89" t="str">
        <f>REPLACE(INDEX(GroupVertices[Group],MATCH(Edges[[#This Row],[Vertex 1]],GroupVertices[Vertex],0)),1,1,"")</f>
        <v>3</v>
      </c>
      <c r="BE503" s="89" t="str">
        <f>REPLACE(INDEX(GroupVertices[Group],MATCH(Edges[[#This Row],[Vertex 2]],GroupVertices[Vertex],0)),1,1,"")</f>
        <v>6</v>
      </c>
      <c r="BF503" s="49">
        <v>0</v>
      </c>
      <c r="BG503" s="50">
        <v>0</v>
      </c>
      <c r="BH503" s="49">
        <v>0</v>
      </c>
      <c r="BI503" s="50">
        <v>0</v>
      </c>
      <c r="BJ503" s="49">
        <v>0</v>
      </c>
      <c r="BK503" s="50">
        <v>0</v>
      </c>
      <c r="BL503" s="49">
        <v>2</v>
      </c>
      <c r="BM503" s="50">
        <v>100</v>
      </c>
      <c r="BN503" s="49">
        <v>2</v>
      </c>
    </row>
    <row r="504" spans="1:66" ht="15">
      <c r="A504" s="65" t="s">
        <v>367</v>
      </c>
      <c r="B504" s="65" t="s">
        <v>448</v>
      </c>
      <c r="C504" s="66" t="s">
        <v>5817</v>
      </c>
      <c r="D504" s="67">
        <v>1</v>
      </c>
      <c r="E504" s="68" t="s">
        <v>132</v>
      </c>
      <c r="F504" s="69">
        <v>32</v>
      </c>
      <c r="G504" s="66" t="s">
        <v>51</v>
      </c>
      <c r="H504" s="70"/>
      <c r="I504" s="71"/>
      <c r="J504" s="71"/>
      <c r="K504" s="35" t="s">
        <v>65</v>
      </c>
      <c r="L504" s="79">
        <v>504</v>
      </c>
      <c r="M504" s="79"/>
      <c r="N504" s="73"/>
      <c r="O504" s="90" t="s">
        <v>525</v>
      </c>
      <c r="P504" s="93">
        <v>44526.35084490741</v>
      </c>
      <c r="Q504" s="90" t="s">
        <v>586</v>
      </c>
      <c r="R504" s="90"/>
      <c r="S504" s="90"/>
      <c r="T504" s="90"/>
      <c r="U504" s="90"/>
      <c r="V504" s="96" t="str">
        <f>HYPERLINK("https://pbs.twimg.com/profile_images/1465970962550214656/3RsuSP0L_normal.jpg")</f>
        <v>https://pbs.twimg.com/profile_images/1465970962550214656/3RsuSP0L_normal.jpg</v>
      </c>
      <c r="W504" s="93">
        <v>44526.35084490741</v>
      </c>
      <c r="X504" s="100">
        <v>44526</v>
      </c>
      <c r="Y504" s="97" t="s">
        <v>937</v>
      </c>
      <c r="Z504" s="96" t="str">
        <f>HYPERLINK("https://twitter.com/teetee63tee/status/1464148223111708672")</f>
        <v>https://twitter.com/teetee63tee/status/1464148223111708672</v>
      </c>
      <c r="AA504" s="90"/>
      <c r="AB504" s="90"/>
      <c r="AC504" s="97" t="s">
        <v>1189</v>
      </c>
      <c r="AD504" s="90"/>
      <c r="AE504" s="90" t="b">
        <v>0</v>
      </c>
      <c r="AF504" s="90">
        <v>0</v>
      </c>
      <c r="AG504" s="97" t="s">
        <v>1338</v>
      </c>
      <c r="AH504" s="90" t="b">
        <v>0</v>
      </c>
      <c r="AI504" s="90" t="s">
        <v>1442</v>
      </c>
      <c r="AJ504" s="90"/>
      <c r="AK504" s="97" t="s">
        <v>1338</v>
      </c>
      <c r="AL504" s="90" t="b">
        <v>0</v>
      </c>
      <c r="AM504" s="90">
        <v>3</v>
      </c>
      <c r="AN504" s="97" t="s">
        <v>1188</v>
      </c>
      <c r="AO504" s="97" t="s">
        <v>1450</v>
      </c>
      <c r="AP504" s="90" t="b">
        <v>0</v>
      </c>
      <c r="AQ504" s="97" t="s">
        <v>1188</v>
      </c>
      <c r="AR504" s="90" t="s">
        <v>187</v>
      </c>
      <c r="AS504" s="90">
        <v>0</v>
      </c>
      <c r="AT504" s="90">
        <v>0</v>
      </c>
      <c r="AU504" s="90"/>
      <c r="AV504" s="90"/>
      <c r="AW504" s="90"/>
      <c r="AX504" s="90"/>
      <c r="AY504" s="90"/>
      <c r="AZ504" s="90"/>
      <c r="BA504" s="90"/>
      <c r="BB504" s="90"/>
      <c r="BC504">
        <v>1</v>
      </c>
      <c r="BD504" s="89" t="str">
        <f>REPLACE(INDEX(GroupVertices[Group],MATCH(Edges[[#This Row],[Vertex 1]],GroupVertices[Vertex],0)),1,1,"")</f>
        <v>3</v>
      </c>
      <c r="BE504" s="89" t="str">
        <f>REPLACE(INDEX(GroupVertices[Group],MATCH(Edges[[#This Row],[Vertex 2]],GroupVertices[Vertex],0)),1,1,"")</f>
        <v>3</v>
      </c>
      <c r="BF504" s="49">
        <v>0</v>
      </c>
      <c r="BG504" s="50">
        <v>0</v>
      </c>
      <c r="BH504" s="49">
        <v>1</v>
      </c>
      <c r="BI504" s="50">
        <v>3.7037037037037037</v>
      </c>
      <c r="BJ504" s="49">
        <v>0</v>
      </c>
      <c r="BK504" s="50">
        <v>0</v>
      </c>
      <c r="BL504" s="49">
        <v>26</v>
      </c>
      <c r="BM504" s="50">
        <v>96.29629629629629</v>
      </c>
      <c r="BN504" s="49">
        <v>27</v>
      </c>
    </row>
    <row r="505" spans="1:66" ht="15">
      <c r="A505" s="65" t="s">
        <v>367</v>
      </c>
      <c r="B505" s="65" t="s">
        <v>448</v>
      </c>
      <c r="C505" s="66" t="s">
        <v>5818</v>
      </c>
      <c r="D505" s="67">
        <v>1</v>
      </c>
      <c r="E505" s="68" t="s">
        <v>132</v>
      </c>
      <c r="F505" s="69">
        <v>32</v>
      </c>
      <c r="G505" s="66" t="s">
        <v>51</v>
      </c>
      <c r="H505" s="70"/>
      <c r="I505" s="71"/>
      <c r="J505" s="71"/>
      <c r="K505" s="35" t="s">
        <v>65</v>
      </c>
      <c r="L505" s="79">
        <v>505</v>
      </c>
      <c r="M505" s="79"/>
      <c r="N505" s="73"/>
      <c r="O505" s="90" t="s">
        <v>523</v>
      </c>
      <c r="P505" s="93">
        <v>44530.36096064815</v>
      </c>
      <c r="Q505" s="90" t="s">
        <v>672</v>
      </c>
      <c r="R505" s="90"/>
      <c r="S505" s="90"/>
      <c r="T505" s="90"/>
      <c r="U505" s="90"/>
      <c r="V505" s="96" t="str">
        <f>HYPERLINK("https://pbs.twimg.com/profile_images/1465970962550214656/3RsuSP0L_normal.jpg")</f>
        <v>https://pbs.twimg.com/profile_images/1465970962550214656/3RsuSP0L_normal.jpg</v>
      </c>
      <c r="W505" s="93">
        <v>44530.36096064815</v>
      </c>
      <c r="X505" s="100">
        <v>44530</v>
      </c>
      <c r="Y505" s="97" t="s">
        <v>941</v>
      </c>
      <c r="Z505" s="96" t="str">
        <f>HYPERLINK("https://twitter.com/teetee63tee/status/1465601441972817920")</f>
        <v>https://twitter.com/teetee63tee/status/1465601441972817920</v>
      </c>
      <c r="AA505" s="90"/>
      <c r="AB505" s="90"/>
      <c r="AC505" s="97" t="s">
        <v>1193</v>
      </c>
      <c r="AD505" s="97" t="s">
        <v>1322</v>
      </c>
      <c r="AE505" s="90" t="b">
        <v>0</v>
      </c>
      <c r="AF505" s="90">
        <v>0</v>
      </c>
      <c r="AG505" s="97" t="s">
        <v>1430</v>
      </c>
      <c r="AH505" s="90" t="b">
        <v>0</v>
      </c>
      <c r="AI505" s="90" t="s">
        <v>1445</v>
      </c>
      <c r="AJ505" s="90"/>
      <c r="AK505" s="97" t="s">
        <v>1338</v>
      </c>
      <c r="AL505" s="90" t="b">
        <v>0</v>
      </c>
      <c r="AM505" s="90">
        <v>0</v>
      </c>
      <c r="AN505" s="97" t="s">
        <v>1338</v>
      </c>
      <c r="AO505" s="97" t="s">
        <v>1450</v>
      </c>
      <c r="AP505" s="90" t="b">
        <v>0</v>
      </c>
      <c r="AQ505" s="97" t="s">
        <v>1322</v>
      </c>
      <c r="AR505" s="90" t="s">
        <v>187</v>
      </c>
      <c r="AS505" s="90">
        <v>0</v>
      </c>
      <c r="AT505" s="90">
        <v>0</v>
      </c>
      <c r="AU505" s="90"/>
      <c r="AV505" s="90"/>
      <c r="AW505" s="90"/>
      <c r="AX505" s="90"/>
      <c r="AY505" s="90"/>
      <c r="AZ505" s="90"/>
      <c r="BA505" s="90"/>
      <c r="BB505" s="90"/>
      <c r="BC505">
        <v>2</v>
      </c>
      <c r="BD505" s="89" t="str">
        <f>REPLACE(INDEX(GroupVertices[Group],MATCH(Edges[[#This Row],[Vertex 1]],GroupVertices[Vertex],0)),1,1,"")</f>
        <v>3</v>
      </c>
      <c r="BE505" s="89" t="str">
        <f>REPLACE(INDEX(GroupVertices[Group],MATCH(Edges[[#This Row],[Vertex 2]],GroupVertices[Vertex],0)),1,1,"")</f>
        <v>3</v>
      </c>
      <c r="BF505" s="49"/>
      <c r="BG505" s="50"/>
      <c r="BH505" s="49"/>
      <c r="BI505" s="50"/>
      <c r="BJ505" s="49"/>
      <c r="BK505" s="50"/>
      <c r="BL505" s="49"/>
      <c r="BM505" s="50"/>
      <c r="BN505" s="49"/>
    </row>
    <row r="506" spans="1:66" ht="15">
      <c r="A506" s="65" t="s">
        <v>367</v>
      </c>
      <c r="B506" s="65" t="s">
        <v>448</v>
      </c>
      <c r="C506" s="66" t="s">
        <v>5818</v>
      </c>
      <c r="D506" s="67">
        <v>1</v>
      </c>
      <c r="E506" s="68" t="s">
        <v>132</v>
      </c>
      <c r="F506" s="69">
        <v>32</v>
      </c>
      <c r="G506" s="66" t="s">
        <v>51</v>
      </c>
      <c r="H506" s="70"/>
      <c r="I506" s="71"/>
      <c r="J506" s="71"/>
      <c r="K506" s="35" t="s">
        <v>65</v>
      </c>
      <c r="L506" s="79">
        <v>506</v>
      </c>
      <c r="M506" s="79"/>
      <c r="N506" s="73"/>
      <c r="O506" s="90" t="s">
        <v>523</v>
      </c>
      <c r="P506" s="93">
        <v>44532.37875</v>
      </c>
      <c r="Q506" s="90" t="s">
        <v>651</v>
      </c>
      <c r="R506" s="90"/>
      <c r="S506" s="90"/>
      <c r="T506" s="90"/>
      <c r="U506" s="90"/>
      <c r="V506" s="96" t="str">
        <f>HYPERLINK("https://pbs.twimg.com/profile_images/1465970962550214656/3RsuSP0L_normal.jpg")</f>
        <v>https://pbs.twimg.com/profile_images/1465970962550214656/3RsuSP0L_normal.jpg</v>
      </c>
      <c r="W506" s="93">
        <v>44532.37875</v>
      </c>
      <c r="X506" s="100">
        <v>44532</v>
      </c>
      <c r="Y506" s="97" t="s">
        <v>949</v>
      </c>
      <c r="Z506" s="96" t="str">
        <f>HYPERLINK("https://twitter.com/teetee63tee/status/1466332663942365185")</f>
        <v>https://twitter.com/teetee63tee/status/1466332663942365185</v>
      </c>
      <c r="AA506" s="90"/>
      <c r="AB506" s="90"/>
      <c r="AC506" s="97" t="s">
        <v>1201</v>
      </c>
      <c r="AD506" s="97" t="s">
        <v>1325</v>
      </c>
      <c r="AE506" s="90" t="b">
        <v>0</v>
      </c>
      <c r="AF506" s="90">
        <v>3</v>
      </c>
      <c r="AG506" s="97" t="s">
        <v>1430</v>
      </c>
      <c r="AH506" s="90" t="b">
        <v>0</v>
      </c>
      <c r="AI506" s="90" t="s">
        <v>1442</v>
      </c>
      <c r="AJ506" s="90"/>
      <c r="AK506" s="97" t="s">
        <v>1338</v>
      </c>
      <c r="AL506" s="90" t="b">
        <v>0</v>
      </c>
      <c r="AM506" s="90">
        <v>1</v>
      </c>
      <c r="AN506" s="97" t="s">
        <v>1338</v>
      </c>
      <c r="AO506" s="97" t="s">
        <v>1450</v>
      </c>
      <c r="AP506" s="90" t="b">
        <v>0</v>
      </c>
      <c r="AQ506" s="97" t="s">
        <v>1325</v>
      </c>
      <c r="AR506" s="90" t="s">
        <v>187</v>
      </c>
      <c r="AS506" s="90">
        <v>0</v>
      </c>
      <c r="AT506" s="90">
        <v>0</v>
      </c>
      <c r="AU506" s="90"/>
      <c r="AV506" s="90"/>
      <c r="AW506" s="90"/>
      <c r="AX506" s="90"/>
      <c r="AY506" s="90"/>
      <c r="AZ506" s="90"/>
      <c r="BA506" s="90"/>
      <c r="BB506" s="90"/>
      <c r="BC506">
        <v>2</v>
      </c>
      <c r="BD506" s="89" t="str">
        <f>REPLACE(INDEX(GroupVertices[Group],MATCH(Edges[[#This Row],[Vertex 1]],GroupVertices[Vertex],0)),1,1,"")</f>
        <v>3</v>
      </c>
      <c r="BE506" s="89" t="str">
        <f>REPLACE(INDEX(GroupVertices[Group],MATCH(Edges[[#This Row],[Vertex 2]],GroupVertices[Vertex],0)),1,1,"")</f>
        <v>3</v>
      </c>
      <c r="BF506" s="49">
        <v>0</v>
      </c>
      <c r="BG506" s="50">
        <v>0</v>
      </c>
      <c r="BH506" s="49">
        <v>0</v>
      </c>
      <c r="BI506" s="50">
        <v>0</v>
      </c>
      <c r="BJ506" s="49">
        <v>0</v>
      </c>
      <c r="BK506" s="50">
        <v>0</v>
      </c>
      <c r="BL506" s="49">
        <v>13</v>
      </c>
      <c r="BM506" s="50">
        <v>100</v>
      </c>
      <c r="BN506" s="49">
        <v>13</v>
      </c>
    </row>
    <row r="507" spans="1:66" ht="15">
      <c r="A507" s="65" t="s">
        <v>367</v>
      </c>
      <c r="B507" s="65" t="s">
        <v>374</v>
      </c>
      <c r="C507" s="66" t="s">
        <v>5817</v>
      </c>
      <c r="D507" s="67">
        <v>1</v>
      </c>
      <c r="E507" s="68" t="s">
        <v>132</v>
      </c>
      <c r="F507" s="69">
        <v>32</v>
      </c>
      <c r="G507" s="66" t="s">
        <v>51</v>
      </c>
      <c r="H507" s="70"/>
      <c r="I507" s="71"/>
      <c r="J507" s="71"/>
      <c r="K507" s="35" t="s">
        <v>65</v>
      </c>
      <c r="L507" s="79">
        <v>507</v>
      </c>
      <c r="M507" s="79"/>
      <c r="N507" s="73"/>
      <c r="O507" s="90" t="s">
        <v>522</v>
      </c>
      <c r="P507" s="93">
        <v>44533.53434027778</v>
      </c>
      <c r="Q507" s="90" t="s">
        <v>656</v>
      </c>
      <c r="R507" s="96" t="str">
        <f>HYPERLINK("https://twitter.com/millatiuni/status/1466446380843606025")</f>
        <v>https://twitter.com/millatiuni/status/1466446380843606025</v>
      </c>
      <c r="S507" s="90" t="s">
        <v>693</v>
      </c>
      <c r="T507" s="90"/>
      <c r="U507" s="90"/>
      <c r="V507" s="96" t="str">
        <f>HYPERLINK("https://pbs.twimg.com/profile_images/1465970962550214656/3RsuSP0L_normal.jpg")</f>
        <v>https://pbs.twimg.com/profile_images/1465970962550214656/3RsuSP0L_normal.jpg</v>
      </c>
      <c r="W507" s="93">
        <v>44533.53434027778</v>
      </c>
      <c r="X507" s="100">
        <v>44533</v>
      </c>
      <c r="Y507" s="97" t="s">
        <v>950</v>
      </c>
      <c r="Z507" s="96" t="str">
        <f>HYPERLINK("https://twitter.com/teetee63tee/status/1466751434356150274")</f>
        <v>https://twitter.com/teetee63tee/status/1466751434356150274</v>
      </c>
      <c r="AA507" s="90"/>
      <c r="AB507" s="90"/>
      <c r="AC507" s="97" t="s">
        <v>1202</v>
      </c>
      <c r="AD507" s="90"/>
      <c r="AE507" s="90" t="b">
        <v>0</v>
      </c>
      <c r="AF507" s="90">
        <v>0</v>
      </c>
      <c r="AG507" s="97" t="s">
        <v>1338</v>
      </c>
      <c r="AH507" s="90" t="b">
        <v>1</v>
      </c>
      <c r="AI507" s="90" t="s">
        <v>1442</v>
      </c>
      <c r="AJ507" s="90"/>
      <c r="AK507" s="97" t="s">
        <v>1448</v>
      </c>
      <c r="AL507" s="90" t="b">
        <v>0</v>
      </c>
      <c r="AM507" s="90">
        <v>29</v>
      </c>
      <c r="AN507" s="97" t="s">
        <v>1218</v>
      </c>
      <c r="AO507" s="97" t="s">
        <v>1450</v>
      </c>
      <c r="AP507" s="90" t="b">
        <v>0</v>
      </c>
      <c r="AQ507" s="97" t="s">
        <v>1218</v>
      </c>
      <c r="AR507" s="90" t="s">
        <v>187</v>
      </c>
      <c r="AS507" s="90">
        <v>0</v>
      </c>
      <c r="AT507" s="90">
        <v>0</v>
      </c>
      <c r="AU507" s="90"/>
      <c r="AV507" s="90"/>
      <c r="AW507" s="90"/>
      <c r="AX507" s="90"/>
      <c r="AY507" s="90"/>
      <c r="AZ507" s="90"/>
      <c r="BA507" s="90"/>
      <c r="BB507" s="90"/>
      <c r="BC507">
        <v>1</v>
      </c>
      <c r="BD507" s="89" t="str">
        <f>REPLACE(INDEX(GroupVertices[Group],MATCH(Edges[[#This Row],[Vertex 1]],GroupVertices[Vertex],0)),1,1,"")</f>
        <v>3</v>
      </c>
      <c r="BE507" s="89" t="str">
        <f>REPLACE(INDEX(GroupVertices[Group],MATCH(Edges[[#This Row],[Vertex 2]],GroupVertices[Vertex],0)),1,1,"")</f>
        <v>1</v>
      </c>
      <c r="BF507" s="49">
        <v>0</v>
      </c>
      <c r="BG507" s="50">
        <v>0</v>
      </c>
      <c r="BH507" s="49">
        <v>0</v>
      </c>
      <c r="BI507" s="50">
        <v>0</v>
      </c>
      <c r="BJ507" s="49">
        <v>0</v>
      </c>
      <c r="BK507" s="50">
        <v>0</v>
      </c>
      <c r="BL507" s="49">
        <v>6</v>
      </c>
      <c r="BM507" s="50">
        <v>100</v>
      </c>
      <c r="BN507" s="49">
        <v>6</v>
      </c>
    </row>
    <row r="508" spans="1:66" ht="15">
      <c r="A508" s="65" t="s">
        <v>349</v>
      </c>
      <c r="B508" s="65" t="s">
        <v>501</v>
      </c>
      <c r="C508" s="66" t="s">
        <v>5817</v>
      </c>
      <c r="D508" s="67">
        <v>1</v>
      </c>
      <c r="E508" s="68" t="s">
        <v>132</v>
      </c>
      <c r="F508" s="69">
        <v>32</v>
      </c>
      <c r="G508" s="66" t="s">
        <v>51</v>
      </c>
      <c r="H508" s="70"/>
      <c r="I508" s="71"/>
      <c r="J508" s="71"/>
      <c r="K508" s="35" t="s">
        <v>65</v>
      </c>
      <c r="L508" s="79">
        <v>508</v>
      </c>
      <c r="M508" s="79"/>
      <c r="N508" s="73"/>
      <c r="O508" s="90" t="s">
        <v>523</v>
      </c>
      <c r="P508" s="93">
        <v>44532.85565972222</v>
      </c>
      <c r="Q508" s="90" t="s">
        <v>664</v>
      </c>
      <c r="R508" s="90"/>
      <c r="S508" s="90"/>
      <c r="T508" s="90"/>
      <c r="U508" s="90"/>
      <c r="V508" s="96" t="str">
        <f>HYPERLINK("https://pbs.twimg.com/profile_images/1393874518343667713/26qXQ9--_normal.jpg")</f>
        <v>https://pbs.twimg.com/profile_images/1393874518343667713/26qXQ9--_normal.jpg</v>
      </c>
      <c r="W508" s="93">
        <v>44532.85565972222</v>
      </c>
      <c r="X508" s="100">
        <v>44532</v>
      </c>
      <c r="Y508" s="97" t="s">
        <v>951</v>
      </c>
      <c r="Z508" s="96" t="str">
        <f>HYPERLINK("https://twitter.com/leanvaltio/status/1466505488032489474")</f>
        <v>https://twitter.com/leanvaltio/status/1466505488032489474</v>
      </c>
      <c r="AA508" s="90"/>
      <c r="AB508" s="90"/>
      <c r="AC508" s="97" t="s">
        <v>1203</v>
      </c>
      <c r="AD508" s="97" t="s">
        <v>1326</v>
      </c>
      <c r="AE508" s="90" t="b">
        <v>0</v>
      </c>
      <c r="AF508" s="90">
        <v>99</v>
      </c>
      <c r="AG508" s="97" t="s">
        <v>1431</v>
      </c>
      <c r="AH508" s="90" t="b">
        <v>0</v>
      </c>
      <c r="AI508" s="90" t="s">
        <v>1442</v>
      </c>
      <c r="AJ508" s="90"/>
      <c r="AK508" s="97" t="s">
        <v>1338</v>
      </c>
      <c r="AL508" s="90" t="b">
        <v>0</v>
      </c>
      <c r="AM508" s="90">
        <v>3</v>
      </c>
      <c r="AN508" s="97" t="s">
        <v>1338</v>
      </c>
      <c r="AO508" s="97" t="s">
        <v>1450</v>
      </c>
      <c r="AP508" s="90" t="b">
        <v>0</v>
      </c>
      <c r="AQ508" s="97" t="s">
        <v>1326</v>
      </c>
      <c r="AR508" s="90" t="s">
        <v>187</v>
      </c>
      <c r="AS508" s="90">
        <v>0</v>
      </c>
      <c r="AT508" s="90">
        <v>0</v>
      </c>
      <c r="AU508" s="90"/>
      <c r="AV508" s="90"/>
      <c r="AW508" s="90"/>
      <c r="AX508" s="90"/>
      <c r="AY508" s="90"/>
      <c r="AZ508" s="90"/>
      <c r="BA508" s="90"/>
      <c r="BB508" s="90"/>
      <c r="BC508">
        <v>1</v>
      </c>
      <c r="BD508" s="89" t="str">
        <f>REPLACE(INDEX(GroupVertices[Group],MATCH(Edges[[#This Row],[Vertex 1]],GroupVertices[Vertex],0)),1,1,"")</f>
        <v>5</v>
      </c>
      <c r="BE508" s="89" t="str">
        <f>REPLACE(INDEX(GroupVertices[Group],MATCH(Edges[[#This Row],[Vertex 2]],GroupVertices[Vertex],0)),1,1,"")</f>
        <v>5</v>
      </c>
      <c r="BF508" s="49">
        <v>1</v>
      </c>
      <c r="BG508" s="50">
        <v>2.7027027027027026</v>
      </c>
      <c r="BH508" s="49">
        <v>0</v>
      </c>
      <c r="BI508" s="50">
        <v>0</v>
      </c>
      <c r="BJ508" s="49">
        <v>0</v>
      </c>
      <c r="BK508" s="50">
        <v>0</v>
      </c>
      <c r="BL508" s="49">
        <v>36</v>
      </c>
      <c r="BM508" s="50">
        <v>97.29729729729729</v>
      </c>
      <c r="BN508" s="49">
        <v>37</v>
      </c>
    </row>
    <row r="509" spans="1:66" ht="15">
      <c r="A509" s="65" t="s">
        <v>369</v>
      </c>
      <c r="B509" s="65" t="s">
        <v>501</v>
      </c>
      <c r="C509" s="66" t="s">
        <v>5817</v>
      </c>
      <c r="D509" s="67">
        <v>1</v>
      </c>
      <c r="E509" s="68" t="s">
        <v>132</v>
      </c>
      <c r="F509" s="69">
        <v>32</v>
      </c>
      <c r="G509" s="66" t="s">
        <v>51</v>
      </c>
      <c r="H509" s="70"/>
      <c r="I509" s="71"/>
      <c r="J509" s="71"/>
      <c r="K509" s="35" t="s">
        <v>65</v>
      </c>
      <c r="L509" s="79">
        <v>509</v>
      </c>
      <c r="M509" s="79"/>
      <c r="N509" s="73"/>
      <c r="O509" s="90" t="s">
        <v>524</v>
      </c>
      <c r="P509" s="93">
        <v>44533.65834490741</v>
      </c>
      <c r="Q509" s="90" t="s">
        <v>675</v>
      </c>
      <c r="R509" s="90"/>
      <c r="S509" s="90"/>
      <c r="T509" s="90"/>
      <c r="U509" s="90"/>
      <c r="V509" s="96" t="str">
        <f>HYPERLINK("https://pbs.twimg.com/profile_images/1326864176388714498/Fo3uR9Do_normal.jpg")</f>
        <v>https://pbs.twimg.com/profile_images/1326864176388714498/Fo3uR9Do_normal.jpg</v>
      </c>
      <c r="W509" s="93">
        <v>44533.65834490741</v>
      </c>
      <c r="X509" s="100">
        <v>44533</v>
      </c>
      <c r="Y509" s="97" t="s">
        <v>952</v>
      </c>
      <c r="Z509" s="96" t="str">
        <f>HYPERLINK("https://twitter.com/marquez_fi/status/1466796372166955013")</f>
        <v>https://twitter.com/marquez_fi/status/1466796372166955013</v>
      </c>
      <c r="AA509" s="90"/>
      <c r="AB509" s="90"/>
      <c r="AC509" s="97" t="s">
        <v>1204</v>
      </c>
      <c r="AD509" s="97" t="s">
        <v>1203</v>
      </c>
      <c r="AE509" s="90" t="b">
        <v>0</v>
      </c>
      <c r="AF509" s="90">
        <v>1</v>
      </c>
      <c r="AG509" s="97" t="s">
        <v>1340</v>
      </c>
      <c r="AH509" s="90" t="b">
        <v>0</v>
      </c>
      <c r="AI509" s="90" t="s">
        <v>1442</v>
      </c>
      <c r="AJ509" s="90"/>
      <c r="AK509" s="97" t="s">
        <v>1338</v>
      </c>
      <c r="AL509" s="90" t="b">
        <v>0</v>
      </c>
      <c r="AM509" s="90">
        <v>0</v>
      </c>
      <c r="AN509" s="97" t="s">
        <v>1338</v>
      </c>
      <c r="AO509" s="97" t="s">
        <v>1451</v>
      </c>
      <c r="AP509" s="90" t="b">
        <v>0</v>
      </c>
      <c r="AQ509" s="97" t="s">
        <v>1203</v>
      </c>
      <c r="AR509" s="90" t="s">
        <v>187</v>
      </c>
      <c r="AS509" s="90">
        <v>0</v>
      </c>
      <c r="AT509" s="90">
        <v>0</v>
      </c>
      <c r="AU509" s="90"/>
      <c r="AV509" s="90"/>
      <c r="AW509" s="90"/>
      <c r="AX509" s="90"/>
      <c r="AY509" s="90"/>
      <c r="AZ509" s="90"/>
      <c r="BA509" s="90"/>
      <c r="BB509" s="90"/>
      <c r="BC509">
        <v>1</v>
      </c>
      <c r="BD509" s="89" t="str">
        <f>REPLACE(INDEX(GroupVertices[Group],MATCH(Edges[[#This Row],[Vertex 1]],GroupVertices[Vertex],0)),1,1,"")</f>
        <v>5</v>
      </c>
      <c r="BE509" s="89" t="str">
        <f>REPLACE(INDEX(GroupVertices[Group],MATCH(Edges[[#This Row],[Vertex 2]],GroupVertices[Vertex],0)),1,1,"")</f>
        <v>5</v>
      </c>
      <c r="BF509" s="49"/>
      <c r="BG509" s="50"/>
      <c r="BH509" s="49"/>
      <c r="BI509" s="50"/>
      <c r="BJ509" s="49"/>
      <c r="BK509" s="50"/>
      <c r="BL509" s="49"/>
      <c r="BM509" s="50"/>
      <c r="BN509" s="49"/>
    </row>
    <row r="510" spans="1:66" ht="15">
      <c r="A510" s="65" t="s">
        <v>349</v>
      </c>
      <c r="B510" s="65" t="s">
        <v>349</v>
      </c>
      <c r="C510" s="66" t="s">
        <v>5817</v>
      </c>
      <c r="D510" s="67">
        <v>1</v>
      </c>
      <c r="E510" s="68" t="s">
        <v>132</v>
      </c>
      <c r="F510" s="69">
        <v>32</v>
      </c>
      <c r="G510" s="66" t="s">
        <v>51</v>
      </c>
      <c r="H510" s="70"/>
      <c r="I510" s="71"/>
      <c r="J510" s="71"/>
      <c r="K510" s="35" t="s">
        <v>65</v>
      </c>
      <c r="L510" s="79">
        <v>510</v>
      </c>
      <c r="M510" s="79"/>
      <c r="N510" s="73"/>
      <c r="O510" s="90" t="s">
        <v>187</v>
      </c>
      <c r="P510" s="93">
        <v>44528.31028935185</v>
      </c>
      <c r="Q510" s="90" t="s">
        <v>676</v>
      </c>
      <c r="R510" s="90"/>
      <c r="S510" s="90"/>
      <c r="T510" s="90"/>
      <c r="U510" s="90"/>
      <c r="V510" s="96" t="str">
        <f>HYPERLINK("https://pbs.twimg.com/profile_images/1393874518343667713/26qXQ9--_normal.jpg")</f>
        <v>https://pbs.twimg.com/profile_images/1393874518343667713/26qXQ9--_normal.jpg</v>
      </c>
      <c r="W510" s="93">
        <v>44528.31028935185</v>
      </c>
      <c r="X510" s="100">
        <v>44528</v>
      </c>
      <c r="Y510" s="97" t="s">
        <v>953</v>
      </c>
      <c r="Z510" s="96" t="str">
        <f>HYPERLINK("https://twitter.com/leanvaltio/status/1464858299740962820")</f>
        <v>https://twitter.com/leanvaltio/status/1464858299740962820</v>
      </c>
      <c r="AA510" s="90"/>
      <c r="AB510" s="90"/>
      <c r="AC510" s="97" t="s">
        <v>1205</v>
      </c>
      <c r="AD510" s="97" t="s">
        <v>1327</v>
      </c>
      <c r="AE510" s="90" t="b">
        <v>0</v>
      </c>
      <c r="AF510" s="90">
        <v>0</v>
      </c>
      <c r="AG510" s="97" t="s">
        <v>1345</v>
      </c>
      <c r="AH510" s="90" t="b">
        <v>0</v>
      </c>
      <c r="AI510" s="90" t="s">
        <v>1442</v>
      </c>
      <c r="AJ510" s="90"/>
      <c r="AK510" s="97" t="s">
        <v>1338</v>
      </c>
      <c r="AL510" s="90" t="b">
        <v>0</v>
      </c>
      <c r="AM510" s="90">
        <v>0</v>
      </c>
      <c r="AN510" s="97" t="s">
        <v>1338</v>
      </c>
      <c r="AO510" s="97" t="s">
        <v>1450</v>
      </c>
      <c r="AP510" s="90" t="b">
        <v>0</v>
      </c>
      <c r="AQ510" s="97" t="s">
        <v>1327</v>
      </c>
      <c r="AR510" s="90" t="s">
        <v>187</v>
      </c>
      <c r="AS510" s="90">
        <v>0</v>
      </c>
      <c r="AT510" s="90">
        <v>0</v>
      </c>
      <c r="AU510" s="90"/>
      <c r="AV510" s="90"/>
      <c r="AW510" s="90"/>
      <c r="AX510" s="90"/>
      <c r="AY510" s="90"/>
      <c r="AZ510" s="90"/>
      <c r="BA510" s="90"/>
      <c r="BB510" s="90"/>
      <c r="BC510">
        <v>1</v>
      </c>
      <c r="BD510" s="89" t="str">
        <f>REPLACE(INDEX(GroupVertices[Group],MATCH(Edges[[#This Row],[Vertex 1]],GroupVertices[Vertex],0)),1,1,"")</f>
        <v>5</v>
      </c>
      <c r="BE510" s="89" t="str">
        <f>REPLACE(INDEX(GroupVertices[Group],MATCH(Edges[[#This Row],[Vertex 2]],GroupVertices[Vertex],0)),1,1,"")</f>
        <v>5</v>
      </c>
      <c r="BF510" s="49">
        <v>0</v>
      </c>
      <c r="BG510" s="50">
        <v>0</v>
      </c>
      <c r="BH510" s="49">
        <v>0</v>
      </c>
      <c r="BI510" s="50">
        <v>0</v>
      </c>
      <c r="BJ510" s="49">
        <v>0</v>
      </c>
      <c r="BK510" s="50">
        <v>0</v>
      </c>
      <c r="BL510" s="49">
        <v>11</v>
      </c>
      <c r="BM510" s="50">
        <v>100</v>
      </c>
      <c r="BN510" s="49">
        <v>11</v>
      </c>
    </row>
    <row r="511" spans="1:66" ht="15">
      <c r="A511" s="65" t="s">
        <v>349</v>
      </c>
      <c r="B511" s="65" t="s">
        <v>349</v>
      </c>
      <c r="C511" s="66" t="s">
        <v>5817</v>
      </c>
      <c r="D511" s="67">
        <v>1</v>
      </c>
      <c r="E511" s="68" t="s">
        <v>132</v>
      </c>
      <c r="F511" s="69">
        <v>32</v>
      </c>
      <c r="G511" s="66" t="s">
        <v>51</v>
      </c>
      <c r="H511" s="70"/>
      <c r="I511" s="71"/>
      <c r="J511" s="71"/>
      <c r="K511" s="35" t="s">
        <v>65</v>
      </c>
      <c r="L511" s="79">
        <v>511</v>
      </c>
      <c r="M511" s="79"/>
      <c r="N511" s="73"/>
      <c r="O511" s="90" t="s">
        <v>522</v>
      </c>
      <c r="P511" s="93">
        <v>44530.712164351855</v>
      </c>
      <c r="Q511" s="90" t="s">
        <v>577</v>
      </c>
      <c r="R511" s="90"/>
      <c r="S511" s="90"/>
      <c r="T511" s="97" t="s">
        <v>226</v>
      </c>
      <c r="U511" s="90"/>
      <c r="V511" s="96" t="str">
        <f>HYPERLINK("https://pbs.twimg.com/profile_images/1393874518343667713/26qXQ9--_normal.jpg")</f>
        <v>https://pbs.twimg.com/profile_images/1393874518343667713/26qXQ9--_normal.jpg</v>
      </c>
      <c r="W511" s="93">
        <v>44530.712164351855</v>
      </c>
      <c r="X511" s="100">
        <v>44530</v>
      </c>
      <c r="Y511" s="97" t="s">
        <v>927</v>
      </c>
      <c r="Z511" s="96" t="str">
        <f>HYPERLINK("https://twitter.com/leanvaltio/status/1465728712364679169")</f>
        <v>https://twitter.com/leanvaltio/status/1465728712364679169</v>
      </c>
      <c r="AA511" s="90"/>
      <c r="AB511" s="90"/>
      <c r="AC511" s="97" t="s">
        <v>1179</v>
      </c>
      <c r="AD511" s="90"/>
      <c r="AE511" s="90" t="b">
        <v>0</v>
      </c>
      <c r="AF511" s="90">
        <v>0</v>
      </c>
      <c r="AG511" s="97" t="s">
        <v>1338</v>
      </c>
      <c r="AH511" s="90" t="b">
        <v>0</v>
      </c>
      <c r="AI511" s="90" t="s">
        <v>1442</v>
      </c>
      <c r="AJ511" s="90"/>
      <c r="AK511" s="97" t="s">
        <v>1338</v>
      </c>
      <c r="AL511" s="90" t="b">
        <v>0</v>
      </c>
      <c r="AM511" s="90">
        <v>14</v>
      </c>
      <c r="AN511" s="97" t="s">
        <v>1178</v>
      </c>
      <c r="AO511" s="97" t="s">
        <v>1450</v>
      </c>
      <c r="AP511" s="90" t="b">
        <v>0</v>
      </c>
      <c r="AQ511" s="97" t="s">
        <v>1178</v>
      </c>
      <c r="AR511" s="90" t="s">
        <v>187</v>
      </c>
      <c r="AS511" s="90">
        <v>0</v>
      </c>
      <c r="AT511" s="90">
        <v>0</v>
      </c>
      <c r="AU511" s="90"/>
      <c r="AV511" s="90"/>
      <c r="AW511" s="90"/>
      <c r="AX511" s="90"/>
      <c r="AY511" s="90"/>
      <c r="AZ511" s="90"/>
      <c r="BA511" s="90"/>
      <c r="BB511" s="90"/>
      <c r="BC511">
        <v>1</v>
      </c>
      <c r="BD511" s="89" t="str">
        <f>REPLACE(INDEX(GroupVertices[Group],MATCH(Edges[[#This Row],[Vertex 1]],GroupVertices[Vertex],0)),1,1,"")</f>
        <v>5</v>
      </c>
      <c r="BE511" s="89" t="str">
        <f>REPLACE(INDEX(GroupVertices[Group],MATCH(Edges[[#This Row],[Vertex 2]],GroupVertices[Vertex],0)),1,1,"")</f>
        <v>5</v>
      </c>
      <c r="BF511" s="49"/>
      <c r="BG511" s="50"/>
      <c r="BH511" s="49"/>
      <c r="BI511" s="50"/>
      <c r="BJ511" s="49"/>
      <c r="BK511" s="50"/>
      <c r="BL511" s="49"/>
      <c r="BM511" s="50"/>
      <c r="BN511" s="49"/>
    </row>
    <row r="512" spans="1:66" ht="15">
      <c r="A512" s="65" t="s">
        <v>369</v>
      </c>
      <c r="B512" s="65" t="s">
        <v>349</v>
      </c>
      <c r="C512" s="66" t="s">
        <v>5817</v>
      </c>
      <c r="D512" s="67">
        <v>1</v>
      </c>
      <c r="E512" s="68" t="s">
        <v>132</v>
      </c>
      <c r="F512" s="69">
        <v>32</v>
      </c>
      <c r="G512" s="66" t="s">
        <v>51</v>
      </c>
      <c r="H512" s="70"/>
      <c r="I512" s="71"/>
      <c r="J512" s="71"/>
      <c r="K512" s="35" t="s">
        <v>65</v>
      </c>
      <c r="L512" s="79">
        <v>512</v>
      </c>
      <c r="M512" s="79"/>
      <c r="N512" s="73"/>
      <c r="O512" s="90" t="s">
        <v>523</v>
      </c>
      <c r="P512" s="93">
        <v>44533.65834490741</v>
      </c>
      <c r="Q512" s="90" t="s">
        <v>675</v>
      </c>
      <c r="R512" s="90"/>
      <c r="S512" s="90"/>
      <c r="T512" s="90"/>
      <c r="U512" s="90"/>
      <c r="V512" s="96" t="str">
        <f>HYPERLINK("https://pbs.twimg.com/profile_images/1326864176388714498/Fo3uR9Do_normal.jpg")</f>
        <v>https://pbs.twimg.com/profile_images/1326864176388714498/Fo3uR9Do_normal.jpg</v>
      </c>
      <c r="W512" s="93">
        <v>44533.65834490741</v>
      </c>
      <c r="X512" s="100">
        <v>44533</v>
      </c>
      <c r="Y512" s="97" t="s">
        <v>952</v>
      </c>
      <c r="Z512" s="96" t="str">
        <f>HYPERLINK("https://twitter.com/marquez_fi/status/1466796372166955013")</f>
        <v>https://twitter.com/marquez_fi/status/1466796372166955013</v>
      </c>
      <c r="AA512" s="90"/>
      <c r="AB512" s="90"/>
      <c r="AC512" s="97" t="s">
        <v>1204</v>
      </c>
      <c r="AD512" s="97" t="s">
        <v>1203</v>
      </c>
      <c r="AE512" s="90" t="b">
        <v>0</v>
      </c>
      <c r="AF512" s="90">
        <v>1</v>
      </c>
      <c r="AG512" s="97" t="s">
        <v>1340</v>
      </c>
      <c r="AH512" s="90" t="b">
        <v>0</v>
      </c>
      <c r="AI512" s="90" t="s">
        <v>1442</v>
      </c>
      <c r="AJ512" s="90"/>
      <c r="AK512" s="97" t="s">
        <v>1338</v>
      </c>
      <c r="AL512" s="90" t="b">
        <v>0</v>
      </c>
      <c r="AM512" s="90">
        <v>0</v>
      </c>
      <c r="AN512" s="97" t="s">
        <v>1338</v>
      </c>
      <c r="AO512" s="97" t="s">
        <v>1451</v>
      </c>
      <c r="AP512" s="90" t="b">
        <v>0</v>
      </c>
      <c r="AQ512" s="97" t="s">
        <v>1203</v>
      </c>
      <c r="AR512" s="90" t="s">
        <v>187</v>
      </c>
      <c r="AS512" s="90">
        <v>0</v>
      </c>
      <c r="AT512" s="90">
        <v>0</v>
      </c>
      <c r="AU512" s="90"/>
      <c r="AV512" s="90"/>
      <c r="AW512" s="90"/>
      <c r="AX512" s="90"/>
      <c r="AY512" s="90"/>
      <c r="AZ512" s="90"/>
      <c r="BA512" s="90"/>
      <c r="BB512" s="90"/>
      <c r="BC512">
        <v>1</v>
      </c>
      <c r="BD512" s="89" t="str">
        <f>REPLACE(INDEX(GroupVertices[Group],MATCH(Edges[[#This Row],[Vertex 1]],GroupVertices[Vertex],0)),1,1,"")</f>
        <v>5</v>
      </c>
      <c r="BE512" s="89" t="str">
        <f>REPLACE(INDEX(GroupVertices[Group],MATCH(Edges[[#This Row],[Vertex 2]],GroupVertices[Vertex],0)),1,1,"")</f>
        <v>5</v>
      </c>
      <c r="BF512" s="49">
        <v>0</v>
      </c>
      <c r="BG512" s="50">
        <v>0</v>
      </c>
      <c r="BH512" s="49">
        <v>0</v>
      </c>
      <c r="BI512" s="50">
        <v>0</v>
      </c>
      <c r="BJ512" s="49">
        <v>0</v>
      </c>
      <c r="BK512" s="50">
        <v>0</v>
      </c>
      <c r="BL512" s="49">
        <v>7</v>
      </c>
      <c r="BM512" s="50">
        <v>100</v>
      </c>
      <c r="BN512" s="49">
        <v>7</v>
      </c>
    </row>
    <row r="513" spans="1:66" ht="15">
      <c r="A513" s="65" t="s">
        <v>370</v>
      </c>
      <c r="B513" s="65" t="s">
        <v>507</v>
      </c>
      <c r="C513" s="66" t="s">
        <v>5817</v>
      </c>
      <c r="D513" s="67">
        <v>1</v>
      </c>
      <c r="E513" s="68" t="s">
        <v>132</v>
      </c>
      <c r="F513" s="69">
        <v>32</v>
      </c>
      <c r="G513" s="66" t="s">
        <v>51</v>
      </c>
      <c r="H513" s="70"/>
      <c r="I513" s="71"/>
      <c r="J513" s="71"/>
      <c r="K513" s="35" t="s">
        <v>65</v>
      </c>
      <c r="L513" s="79">
        <v>513</v>
      </c>
      <c r="M513" s="79"/>
      <c r="N513" s="73"/>
      <c r="O513" s="90" t="s">
        <v>524</v>
      </c>
      <c r="P513" s="93">
        <v>44533.67663194444</v>
      </c>
      <c r="Q513" s="90" t="s">
        <v>677</v>
      </c>
      <c r="R513" s="90"/>
      <c r="S513" s="90"/>
      <c r="T513" s="90"/>
      <c r="U513" s="90"/>
      <c r="V513" s="96" t="str">
        <f>HYPERLINK("https://pbs.twimg.com/profile_images/1447845745156050945/FmjlU0uZ_normal.jpg")</f>
        <v>https://pbs.twimg.com/profile_images/1447845745156050945/FmjlU0uZ_normal.jpg</v>
      </c>
      <c r="W513" s="93">
        <v>44533.67663194444</v>
      </c>
      <c r="X513" s="100">
        <v>44533</v>
      </c>
      <c r="Y513" s="97" t="s">
        <v>954</v>
      </c>
      <c r="Z513" s="96" t="str">
        <f>HYPERLINK("https://twitter.com/nestorihuuskon1/status/1466802999947313157")</f>
        <v>https://twitter.com/nestorihuuskon1/status/1466802999947313157</v>
      </c>
      <c r="AA513" s="90"/>
      <c r="AB513" s="90"/>
      <c r="AC513" s="97" t="s">
        <v>1206</v>
      </c>
      <c r="AD513" s="97" t="s">
        <v>1328</v>
      </c>
      <c r="AE513" s="90" t="b">
        <v>0</v>
      </c>
      <c r="AF513" s="90">
        <v>0</v>
      </c>
      <c r="AG513" s="97" t="s">
        <v>1432</v>
      </c>
      <c r="AH513" s="90" t="b">
        <v>0</v>
      </c>
      <c r="AI513" s="90" t="s">
        <v>1442</v>
      </c>
      <c r="AJ513" s="90"/>
      <c r="AK513" s="97" t="s">
        <v>1338</v>
      </c>
      <c r="AL513" s="90" t="b">
        <v>0</v>
      </c>
      <c r="AM513" s="90">
        <v>0</v>
      </c>
      <c r="AN513" s="97" t="s">
        <v>1338</v>
      </c>
      <c r="AO513" s="97" t="s">
        <v>1452</v>
      </c>
      <c r="AP513" s="90" t="b">
        <v>0</v>
      </c>
      <c r="AQ513" s="97" t="s">
        <v>1328</v>
      </c>
      <c r="AR513" s="90" t="s">
        <v>187</v>
      </c>
      <c r="AS513" s="90">
        <v>0</v>
      </c>
      <c r="AT513" s="90">
        <v>0</v>
      </c>
      <c r="AU513" s="90"/>
      <c r="AV513" s="90"/>
      <c r="AW513" s="90"/>
      <c r="AX513" s="90"/>
      <c r="AY513" s="90"/>
      <c r="AZ513" s="90"/>
      <c r="BA513" s="90"/>
      <c r="BB513" s="90"/>
      <c r="BC513">
        <v>1</v>
      </c>
      <c r="BD513" s="89" t="str">
        <f>REPLACE(INDEX(GroupVertices[Group],MATCH(Edges[[#This Row],[Vertex 1]],GroupVertices[Vertex],0)),1,1,"")</f>
        <v>17</v>
      </c>
      <c r="BE513" s="89" t="str">
        <f>REPLACE(INDEX(GroupVertices[Group],MATCH(Edges[[#This Row],[Vertex 2]],GroupVertices[Vertex],0)),1,1,"")</f>
        <v>17</v>
      </c>
      <c r="BF513" s="49"/>
      <c r="BG513" s="50"/>
      <c r="BH513" s="49"/>
      <c r="BI513" s="50"/>
      <c r="BJ513" s="49"/>
      <c r="BK513" s="50"/>
      <c r="BL513" s="49"/>
      <c r="BM513" s="50"/>
      <c r="BN513" s="49"/>
    </row>
    <row r="514" spans="1:66" ht="15">
      <c r="A514" s="65" t="s">
        <v>370</v>
      </c>
      <c r="B514" s="65" t="s">
        <v>508</v>
      </c>
      <c r="C514" s="66" t="s">
        <v>5817</v>
      </c>
      <c r="D514" s="67">
        <v>1</v>
      </c>
      <c r="E514" s="68" t="s">
        <v>132</v>
      </c>
      <c r="F514" s="69">
        <v>32</v>
      </c>
      <c r="G514" s="66" t="s">
        <v>51</v>
      </c>
      <c r="H514" s="70"/>
      <c r="I514" s="71"/>
      <c r="J514" s="71"/>
      <c r="K514" s="35" t="s">
        <v>65</v>
      </c>
      <c r="L514" s="79">
        <v>514</v>
      </c>
      <c r="M514" s="79"/>
      <c r="N514" s="73"/>
      <c r="O514" s="90" t="s">
        <v>523</v>
      </c>
      <c r="P514" s="93">
        <v>44533.67663194444</v>
      </c>
      <c r="Q514" s="90" t="s">
        <v>677</v>
      </c>
      <c r="R514" s="90"/>
      <c r="S514" s="90"/>
      <c r="T514" s="90"/>
      <c r="U514" s="90"/>
      <c r="V514" s="96" t="str">
        <f>HYPERLINK("https://pbs.twimg.com/profile_images/1447845745156050945/FmjlU0uZ_normal.jpg")</f>
        <v>https://pbs.twimg.com/profile_images/1447845745156050945/FmjlU0uZ_normal.jpg</v>
      </c>
      <c r="W514" s="93">
        <v>44533.67663194444</v>
      </c>
      <c r="X514" s="100">
        <v>44533</v>
      </c>
      <c r="Y514" s="97" t="s">
        <v>954</v>
      </c>
      <c r="Z514" s="96" t="str">
        <f>HYPERLINK("https://twitter.com/nestorihuuskon1/status/1466802999947313157")</f>
        <v>https://twitter.com/nestorihuuskon1/status/1466802999947313157</v>
      </c>
      <c r="AA514" s="90"/>
      <c r="AB514" s="90"/>
      <c r="AC514" s="97" t="s">
        <v>1206</v>
      </c>
      <c r="AD514" s="97" t="s">
        <v>1328</v>
      </c>
      <c r="AE514" s="90" t="b">
        <v>0</v>
      </c>
      <c r="AF514" s="90">
        <v>0</v>
      </c>
      <c r="AG514" s="97" t="s">
        <v>1432</v>
      </c>
      <c r="AH514" s="90" t="b">
        <v>0</v>
      </c>
      <c r="AI514" s="90" t="s">
        <v>1442</v>
      </c>
      <c r="AJ514" s="90"/>
      <c r="AK514" s="97" t="s">
        <v>1338</v>
      </c>
      <c r="AL514" s="90" t="b">
        <v>0</v>
      </c>
      <c r="AM514" s="90">
        <v>0</v>
      </c>
      <c r="AN514" s="97" t="s">
        <v>1338</v>
      </c>
      <c r="AO514" s="97" t="s">
        <v>1452</v>
      </c>
      <c r="AP514" s="90" t="b">
        <v>0</v>
      </c>
      <c r="AQ514" s="97" t="s">
        <v>1328</v>
      </c>
      <c r="AR514" s="90" t="s">
        <v>187</v>
      </c>
      <c r="AS514" s="90">
        <v>0</v>
      </c>
      <c r="AT514" s="90">
        <v>0</v>
      </c>
      <c r="AU514" s="90"/>
      <c r="AV514" s="90"/>
      <c r="AW514" s="90"/>
      <c r="AX514" s="90"/>
      <c r="AY514" s="90"/>
      <c r="AZ514" s="90"/>
      <c r="BA514" s="90"/>
      <c r="BB514" s="90"/>
      <c r="BC514">
        <v>1</v>
      </c>
      <c r="BD514" s="89" t="str">
        <f>REPLACE(INDEX(GroupVertices[Group],MATCH(Edges[[#This Row],[Vertex 1]],GroupVertices[Vertex],0)),1,1,"")</f>
        <v>17</v>
      </c>
      <c r="BE514" s="89" t="str">
        <f>REPLACE(INDEX(GroupVertices[Group],MATCH(Edges[[#This Row],[Vertex 2]],GroupVertices[Vertex],0)),1,1,"")</f>
        <v>17</v>
      </c>
      <c r="BF514" s="49">
        <v>0</v>
      </c>
      <c r="BG514" s="50">
        <v>0</v>
      </c>
      <c r="BH514" s="49">
        <v>0</v>
      </c>
      <c r="BI514" s="50">
        <v>0</v>
      </c>
      <c r="BJ514" s="49">
        <v>0</v>
      </c>
      <c r="BK514" s="50">
        <v>0</v>
      </c>
      <c r="BL514" s="49">
        <v>6</v>
      </c>
      <c r="BM514" s="50">
        <v>100</v>
      </c>
      <c r="BN514" s="49">
        <v>6</v>
      </c>
    </row>
    <row r="515" spans="1:66" ht="15">
      <c r="A515" s="65" t="s">
        <v>371</v>
      </c>
      <c r="B515" s="65" t="s">
        <v>509</v>
      </c>
      <c r="C515" s="66" t="s">
        <v>5817</v>
      </c>
      <c r="D515" s="67">
        <v>1</v>
      </c>
      <c r="E515" s="68" t="s">
        <v>132</v>
      </c>
      <c r="F515" s="69">
        <v>32</v>
      </c>
      <c r="G515" s="66" t="s">
        <v>51</v>
      </c>
      <c r="H515" s="70"/>
      <c r="I515" s="71"/>
      <c r="J515" s="71"/>
      <c r="K515" s="35" t="s">
        <v>65</v>
      </c>
      <c r="L515" s="79">
        <v>515</v>
      </c>
      <c r="M515" s="79"/>
      <c r="N515" s="73"/>
      <c r="O515" s="90" t="s">
        <v>523</v>
      </c>
      <c r="P515" s="93">
        <v>44533.72453703704</v>
      </c>
      <c r="Q515" s="90" t="s">
        <v>678</v>
      </c>
      <c r="R515" s="90"/>
      <c r="S515" s="90"/>
      <c r="T515" s="90"/>
      <c r="U515" s="90"/>
      <c r="V515" s="96" t="str">
        <f>HYPERLINK("https://pbs.twimg.com/profile_images/1034975339372576769/prCDWiiv_normal.jpg")</f>
        <v>https://pbs.twimg.com/profile_images/1034975339372576769/prCDWiiv_normal.jpg</v>
      </c>
      <c r="W515" s="93">
        <v>44533.72453703704</v>
      </c>
      <c r="X515" s="100">
        <v>44533</v>
      </c>
      <c r="Y515" s="97" t="s">
        <v>955</v>
      </c>
      <c r="Z515" s="96" t="str">
        <f>HYPERLINK("https://twitter.com/ehle81/status/1466820360339349510")</f>
        <v>https://twitter.com/ehle81/status/1466820360339349510</v>
      </c>
      <c r="AA515" s="90"/>
      <c r="AB515" s="90"/>
      <c r="AC515" s="97" t="s">
        <v>1207</v>
      </c>
      <c r="AD515" s="97" t="s">
        <v>1329</v>
      </c>
      <c r="AE515" s="90" t="b">
        <v>0</v>
      </c>
      <c r="AF515" s="90">
        <v>0</v>
      </c>
      <c r="AG515" s="97" t="s">
        <v>1433</v>
      </c>
      <c r="AH515" s="90" t="b">
        <v>0</v>
      </c>
      <c r="AI515" s="90" t="s">
        <v>1442</v>
      </c>
      <c r="AJ515" s="90"/>
      <c r="AK515" s="97" t="s">
        <v>1338</v>
      </c>
      <c r="AL515" s="90" t="b">
        <v>0</v>
      </c>
      <c r="AM515" s="90">
        <v>0</v>
      </c>
      <c r="AN515" s="97" t="s">
        <v>1338</v>
      </c>
      <c r="AO515" s="97" t="s">
        <v>1452</v>
      </c>
      <c r="AP515" s="90" t="b">
        <v>0</v>
      </c>
      <c r="AQ515" s="97" t="s">
        <v>1329</v>
      </c>
      <c r="AR515" s="90" t="s">
        <v>187</v>
      </c>
      <c r="AS515" s="90">
        <v>0</v>
      </c>
      <c r="AT515" s="90">
        <v>0</v>
      </c>
      <c r="AU515" s="90"/>
      <c r="AV515" s="90"/>
      <c r="AW515" s="90"/>
      <c r="AX515" s="90"/>
      <c r="AY515" s="90"/>
      <c r="AZ515" s="90"/>
      <c r="BA515" s="90"/>
      <c r="BB515" s="90"/>
      <c r="BC515">
        <v>1</v>
      </c>
      <c r="BD515" s="89" t="str">
        <f>REPLACE(INDEX(GroupVertices[Group],MATCH(Edges[[#This Row],[Vertex 1]],GroupVertices[Vertex],0)),1,1,"")</f>
        <v>1</v>
      </c>
      <c r="BE515" s="89" t="str">
        <f>REPLACE(INDEX(GroupVertices[Group],MATCH(Edges[[#This Row],[Vertex 2]],GroupVertices[Vertex],0)),1,1,"")</f>
        <v>1</v>
      </c>
      <c r="BF515" s="49">
        <v>0</v>
      </c>
      <c r="BG515" s="50">
        <v>0</v>
      </c>
      <c r="BH515" s="49">
        <v>0</v>
      </c>
      <c r="BI515" s="50">
        <v>0</v>
      </c>
      <c r="BJ515" s="49">
        <v>0</v>
      </c>
      <c r="BK515" s="50">
        <v>0</v>
      </c>
      <c r="BL515" s="49">
        <v>5</v>
      </c>
      <c r="BM515" s="50">
        <v>100</v>
      </c>
      <c r="BN515" s="49">
        <v>5</v>
      </c>
    </row>
    <row r="516" spans="1:66" ht="15">
      <c r="A516" s="65" t="s">
        <v>371</v>
      </c>
      <c r="B516" s="65" t="s">
        <v>374</v>
      </c>
      <c r="C516" s="66" t="s">
        <v>5817</v>
      </c>
      <c r="D516" s="67">
        <v>1</v>
      </c>
      <c r="E516" s="68" t="s">
        <v>132</v>
      </c>
      <c r="F516" s="69">
        <v>32</v>
      </c>
      <c r="G516" s="66" t="s">
        <v>51</v>
      </c>
      <c r="H516" s="70"/>
      <c r="I516" s="71"/>
      <c r="J516" s="71"/>
      <c r="K516" s="35" t="s">
        <v>65</v>
      </c>
      <c r="L516" s="79">
        <v>516</v>
      </c>
      <c r="M516" s="79"/>
      <c r="N516" s="73"/>
      <c r="O516" s="90" t="s">
        <v>522</v>
      </c>
      <c r="P516" s="93">
        <v>44533.723495370374</v>
      </c>
      <c r="Q516" s="90" t="s">
        <v>656</v>
      </c>
      <c r="R516" s="96" t="str">
        <f>HYPERLINK("https://twitter.com/millatiuni/status/1466446380843606025")</f>
        <v>https://twitter.com/millatiuni/status/1466446380843606025</v>
      </c>
      <c r="S516" s="90" t="s">
        <v>693</v>
      </c>
      <c r="T516" s="90"/>
      <c r="U516" s="90"/>
      <c r="V516" s="96" t="str">
        <f>HYPERLINK("https://pbs.twimg.com/profile_images/1034975339372576769/prCDWiiv_normal.jpg")</f>
        <v>https://pbs.twimg.com/profile_images/1034975339372576769/prCDWiiv_normal.jpg</v>
      </c>
      <c r="W516" s="93">
        <v>44533.723495370374</v>
      </c>
      <c r="X516" s="100">
        <v>44533</v>
      </c>
      <c r="Y516" s="97" t="s">
        <v>956</v>
      </c>
      <c r="Z516" s="96" t="str">
        <f>HYPERLINK("https://twitter.com/ehle81/status/1466819983615406083")</f>
        <v>https://twitter.com/ehle81/status/1466819983615406083</v>
      </c>
      <c r="AA516" s="90"/>
      <c r="AB516" s="90"/>
      <c r="AC516" s="97" t="s">
        <v>1208</v>
      </c>
      <c r="AD516" s="90"/>
      <c r="AE516" s="90" t="b">
        <v>0</v>
      </c>
      <c r="AF516" s="90">
        <v>0</v>
      </c>
      <c r="AG516" s="97" t="s">
        <v>1338</v>
      </c>
      <c r="AH516" s="90" t="b">
        <v>1</v>
      </c>
      <c r="AI516" s="90" t="s">
        <v>1442</v>
      </c>
      <c r="AJ516" s="90"/>
      <c r="AK516" s="97" t="s">
        <v>1448</v>
      </c>
      <c r="AL516" s="90" t="b">
        <v>0</v>
      </c>
      <c r="AM516" s="90">
        <v>29</v>
      </c>
      <c r="AN516" s="97" t="s">
        <v>1218</v>
      </c>
      <c r="AO516" s="97" t="s">
        <v>1452</v>
      </c>
      <c r="AP516" s="90" t="b">
        <v>0</v>
      </c>
      <c r="AQ516" s="97" t="s">
        <v>1218</v>
      </c>
      <c r="AR516" s="90" t="s">
        <v>187</v>
      </c>
      <c r="AS516" s="90">
        <v>0</v>
      </c>
      <c r="AT516" s="90">
        <v>0</v>
      </c>
      <c r="AU516" s="90"/>
      <c r="AV516" s="90"/>
      <c r="AW516" s="90"/>
      <c r="AX516" s="90"/>
      <c r="AY516" s="90"/>
      <c r="AZ516" s="90"/>
      <c r="BA516" s="90"/>
      <c r="BB516" s="90"/>
      <c r="BC516">
        <v>1</v>
      </c>
      <c r="BD516" s="89" t="str">
        <f>REPLACE(INDEX(GroupVertices[Group],MATCH(Edges[[#This Row],[Vertex 1]],GroupVertices[Vertex],0)),1,1,"")</f>
        <v>1</v>
      </c>
      <c r="BE516" s="89" t="str">
        <f>REPLACE(INDEX(GroupVertices[Group],MATCH(Edges[[#This Row],[Vertex 2]],GroupVertices[Vertex],0)),1,1,"")</f>
        <v>1</v>
      </c>
      <c r="BF516" s="49">
        <v>0</v>
      </c>
      <c r="BG516" s="50">
        <v>0</v>
      </c>
      <c r="BH516" s="49">
        <v>0</v>
      </c>
      <c r="BI516" s="50">
        <v>0</v>
      </c>
      <c r="BJ516" s="49">
        <v>0</v>
      </c>
      <c r="BK516" s="50">
        <v>0</v>
      </c>
      <c r="BL516" s="49">
        <v>6</v>
      </c>
      <c r="BM516" s="50">
        <v>100</v>
      </c>
      <c r="BN516" s="49">
        <v>6</v>
      </c>
    </row>
    <row r="517" spans="1:66" ht="15">
      <c r="A517" s="65" t="s">
        <v>372</v>
      </c>
      <c r="B517" s="65" t="s">
        <v>458</v>
      </c>
      <c r="C517" s="66" t="s">
        <v>5817</v>
      </c>
      <c r="D517" s="67">
        <v>1</v>
      </c>
      <c r="E517" s="68" t="s">
        <v>132</v>
      </c>
      <c r="F517" s="69">
        <v>32</v>
      </c>
      <c r="G517" s="66" t="s">
        <v>51</v>
      </c>
      <c r="H517" s="70"/>
      <c r="I517" s="71"/>
      <c r="J517" s="71"/>
      <c r="K517" s="35" t="s">
        <v>65</v>
      </c>
      <c r="L517" s="79">
        <v>517</v>
      </c>
      <c r="M517" s="79"/>
      <c r="N517" s="73"/>
      <c r="O517" s="90" t="s">
        <v>524</v>
      </c>
      <c r="P517" s="93">
        <v>44531.309594907405</v>
      </c>
      <c r="Q517" s="90" t="s">
        <v>626</v>
      </c>
      <c r="R517" s="90"/>
      <c r="S517" s="90"/>
      <c r="T517" s="90"/>
      <c r="U517" s="90"/>
      <c r="V517" s="96" t="str">
        <f>HYPERLINK("https://pbs.twimg.com/profile_images/578604214013710336/lNlHCyyf_normal.jpeg")</f>
        <v>https://pbs.twimg.com/profile_images/578604214013710336/lNlHCyyf_normal.jpeg</v>
      </c>
      <c r="W517" s="93">
        <v>44531.309594907405</v>
      </c>
      <c r="X517" s="100">
        <v>44531</v>
      </c>
      <c r="Y517" s="97" t="s">
        <v>957</v>
      </c>
      <c r="Z517" s="96" t="str">
        <f>HYPERLINK("https://twitter.com/mvirtanen/status/1465945214309347328")</f>
        <v>https://twitter.com/mvirtanen/status/1465945214309347328</v>
      </c>
      <c r="AA517" s="90"/>
      <c r="AB517" s="90"/>
      <c r="AC517" s="97" t="s">
        <v>1209</v>
      </c>
      <c r="AD517" s="97" t="s">
        <v>1269</v>
      </c>
      <c r="AE517" s="90" t="b">
        <v>0</v>
      </c>
      <c r="AF517" s="90">
        <v>77</v>
      </c>
      <c r="AG517" s="97" t="s">
        <v>1385</v>
      </c>
      <c r="AH517" s="90" t="b">
        <v>0</v>
      </c>
      <c r="AI517" s="90" t="s">
        <v>1442</v>
      </c>
      <c r="AJ517" s="90"/>
      <c r="AK517" s="97" t="s">
        <v>1338</v>
      </c>
      <c r="AL517" s="90" t="b">
        <v>0</v>
      </c>
      <c r="AM517" s="90">
        <v>2</v>
      </c>
      <c r="AN517" s="97" t="s">
        <v>1338</v>
      </c>
      <c r="AO517" s="97" t="s">
        <v>1450</v>
      </c>
      <c r="AP517" s="90" t="b">
        <v>0</v>
      </c>
      <c r="AQ517" s="97" t="s">
        <v>1269</v>
      </c>
      <c r="AR517" s="90" t="s">
        <v>187</v>
      </c>
      <c r="AS517" s="90">
        <v>0</v>
      </c>
      <c r="AT517" s="90">
        <v>0</v>
      </c>
      <c r="AU517" s="90"/>
      <c r="AV517" s="90"/>
      <c r="AW517" s="90"/>
      <c r="AX517" s="90"/>
      <c r="AY517" s="90"/>
      <c r="AZ517" s="90"/>
      <c r="BA517" s="90"/>
      <c r="BB517" s="90"/>
      <c r="BC517">
        <v>1</v>
      </c>
      <c r="BD517" s="89" t="str">
        <f>REPLACE(INDEX(GroupVertices[Group],MATCH(Edges[[#This Row],[Vertex 1]],GroupVertices[Vertex],0)),1,1,"")</f>
        <v>2</v>
      </c>
      <c r="BE517" s="89" t="str">
        <f>REPLACE(INDEX(GroupVertices[Group],MATCH(Edges[[#This Row],[Vertex 2]],GroupVertices[Vertex],0)),1,1,"")</f>
        <v>2</v>
      </c>
      <c r="BF517" s="49"/>
      <c r="BG517" s="50"/>
      <c r="BH517" s="49"/>
      <c r="BI517" s="50"/>
      <c r="BJ517" s="49"/>
      <c r="BK517" s="50"/>
      <c r="BL517" s="49"/>
      <c r="BM517" s="50"/>
      <c r="BN517" s="49"/>
    </row>
    <row r="518" spans="1:66" ht="15">
      <c r="A518" s="65" t="s">
        <v>373</v>
      </c>
      <c r="B518" s="65" t="s">
        <v>458</v>
      </c>
      <c r="C518" s="66" t="s">
        <v>5817</v>
      </c>
      <c r="D518" s="67">
        <v>1</v>
      </c>
      <c r="E518" s="68" t="s">
        <v>132</v>
      </c>
      <c r="F518" s="69">
        <v>32</v>
      </c>
      <c r="G518" s="66" t="s">
        <v>51</v>
      </c>
      <c r="H518" s="70"/>
      <c r="I518" s="71"/>
      <c r="J518" s="71"/>
      <c r="K518" s="35" t="s">
        <v>65</v>
      </c>
      <c r="L518" s="79">
        <v>518</v>
      </c>
      <c r="M518" s="79"/>
      <c r="N518" s="73"/>
      <c r="O518" s="90" t="s">
        <v>524</v>
      </c>
      <c r="P518" s="93">
        <v>44532.5018287037</v>
      </c>
      <c r="Q518" s="90" t="s">
        <v>679</v>
      </c>
      <c r="R518" s="96" t="str">
        <f>HYPERLINK("https://www.covid19treatmentguidelines.nih.gov/tables/table-2e/")</f>
        <v>https://www.covid19treatmentguidelines.nih.gov/tables/table-2e/</v>
      </c>
      <c r="S518" s="90" t="s">
        <v>708</v>
      </c>
      <c r="T518" s="90"/>
      <c r="U518" s="90"/>
      <c r="V518" s="96" t="str">
        <f>HYPERLINK("https://pbs.twimg.com/profile_images/1418919134243528705/xm1wKqxb_normal.jpg")</f>
        <v>https://pbs.twimg.com/profile_images/1418919134243528705/xm1wKqxb_normal.jpg</v>
      </c>
      <c r="W518" s="93">
        <v>44532.5018287037</v>
      </c>
      <c r="X518" s="100">
        <v>44532</v>
      </c>
      <c r="Y518" s="97" t="s">
        <v>958</v>
      </c>
      <c r="Z518" s="96" t="str">
        <f>HYPERLINK("https://twitter.com/iamantero/status/1466377264032010241")</f>
        <v>https://twitter.com/iamantero/status/1466377264032010241</v>
      </c>
      <c r="AA518" s="90"/>
      <c r="AB518" s="90"/>
      <c r="AC518" s="97" t="s">
        <v>1210</v>
      </c>
      <c r="AD518" s="97" t="s">
        <v>1330</v>
      </c>
      <c r="AE518" s="90" t="b">
        <v>0</v>
      </c>
      <c r="AF518" s="90">
        <v>0</v>
      </c>
      <c r="AG518" s="97" t="s">
        <v>1434</v>
      </c>
      <c r="AH518" s="90" t="b">
        <v>0</v>
      </c>
      <c r="AI518" s="90" t="s">
        <v>1442</v>
      </c>
      <c r="AJ518" s="90"/>
      <c r="AK518" s="97" t="s">
        <v>1338</v>
      </c>
      <c r="AL518" s="90" t="b">
        <v>0</v>
      </c>
      <c r="AM518" s="90">
        <v>0</v>
      </c>
      <c r="AN518" s="97" t="s">
        <v>1338</v>
      </c>
      <c r="AO518" s="97" t="s">
        <v>1450</v>
      </c>
      <c r="AP518" s="90" t="b">
        <v>0</v>
      </c>
      <c r="AQ518" s="97" t="s">
        <v>1330</v>
      </c>
      <c r="AR518" s="90" t="s">
        <v>187</v>
      </c>
      <c r="AS518" s="90">
        <v>0</v>
      </c>
      <c r="AT518" s="90">
        <v>0</v>
      </c>
      <c r="AU518" s="90"/>
      <c r="AV518" s="90"/>
      <c r="AW518" s="90"/>
      <c r="AX518" s="90"/>
      <c r="AY518" s="90"/>
      <c r="AZ518" s="90"/>
      <c r="BA518" s="90"/>
      <c r="BB518" s="90"/>
      <c r="BC518">
        <v>1</v>
      </c>
      <c r="BD518" s="89" t="str">
        <f>REPLACE(INDEX(GroupVertices[Group],MATCH(Edges[[#This Row],[Vertex 1]],GroupVertices[Vertex],0)),1,1,"")</f>
        <v>2</v>
      </c>
      <c r="BE518" s="89" t="str">
        <f>REPLACE(INDEX(GroupVertices[Group],MATCH(Edges[[#This Row],[Vertex 2]],GroupVertices[Vertex],0)),1,1,"")</f>
        <v>2</v>
      </c>
      <c r="BF518" s="49"/>
      <c r="BG518" s="50"/>
      <c r="BH518" s="49"/>
      <c r="BI518" s="50"/>
      <c r="BJ518" s="49"/>
      <c r="BK518" s="50"/>
      <c r="BL518" s="49"/>
      <c r="BM518" s="50"/>
      <c r="BN518" s="49"/>
    </row>
    <row r="519" spans="1:66" ht="15">
      <c r="A519" s="65" t="s">
        <v>372</v>
      </c>
      <c r="B519" s="65" t="s">
        <v>459</v>
      </c>
      <c r="C519" s="66" t="s">
        <v>5817</v>
      </c>
      <c r="D519" s="67">
        <v>1</v>
      </c>
      <c r="E519" s="68" t="s">
        <v>132</v>
      </c>
      <c r="F519" s="69">
        <v>32</v>
      </c>
      <c r="G519" s="66" t="s">
        <v>51</v>
      </c>
      <c r="H519" s="70"/>
      <c r="I519" s="71"/>
      <c r="J519" s="71"/>
      <c r="K519" s="35" t="s">
        <v>65</v>
      </c>
      <c r="L519" s="79">
        <v>519</v>
      </c>
      <c r="M519" s="79"/>
      <c r="N519" s="73"/>
      <c r="O519" s="90" t="s">
        <v>523</v>
      </c>
      <c r="P519" s="93">
        <v>44531.309594907405</v>
      </c>
      <c r="Q519" s="90" t="s">
        <v>626</v>
      </c>
      <c r="R519" s="90"/>
      <c r="S519" s="90"/>
      <c r="T519" s="90"/>
      <c r="U519" s="90"/>
      <c r="V519" s="96" t="str">
        <f>HYPERLINK("https://pbs.twimg.com/profile_images/578604214013710336/lNlHCyyf_normal.jpeg")</f>
        <v>https://pbs.twimg.com/profile_images/578604214013710336/lNlHCyyf_normal.jpeg</v>
      </c>
      <c r="W519" s="93">
        <v>44531.309594907405</v>
      </c>
      <c r="X519" s="100">
        <v>44531</v>
      </c>
      <c r="Y519" s="97" t="s">
        <v>957</v>
      </c>
      <c r="Z519" s="96" t="str">
        <f>HYPERLINK("https://twitter.com/mvirtanen/status/1465945214309347328")</f>
        <v>https://twitter.com/mvirtanen/status/1465945214309347328</v>
      </c>
      <c r="AA519" s="90"/>
      <c r="AB519" s="90"/>
      <c r="AC519" s="97" t="s">
        <v>1209</v>
      </c>
      <c r="AD519" s="97" t="s">
        <v>1269</v>
      </c>
      <c r="AE519" s="90" t="b">
        <v>0</v>
      </c>
      <c r="AF519" s="90">
        <v>77</v>
      </c>
      <c r="AG519" s="97" t="s">
        <v>1385</v>
      </c>
      <c r="AH519" s="90" t="b">
        <v>0</v>
      </c>
      <c r="AI519" s="90" t="s">
        <v>1442</v>
      </c>
      <c r="AJ519" s="90"/>
      <c r="AK519" s="97" t="s">
        <v>1338</v>
      </c>
      <c r="AL519" s="90" t="b">
        <v>0</v>
      </c>
      <c r="AM519" s="90">
        <v>2</v>
      </c>
      <c r="AN519" s="97" t="s">
        <v>1338</v>
      </c>
      <c r="AO519" s="97" t="s">
        <v>1450</v>
      </c>
      <c r="AP519" s="90" t="b">
        <v>0</v>
      </c>
      <c r="AQ519" s="97" t="s">
        <v>1269</v>
      </c>
      <c r="AR519" s="90" t="s">
        <v>187</v>
      </c>
      <c r="AS519" s="90">
        <v>0</v>
      </c>
      <c r="AT519" s="90">
        <v>0</v>
      </c>
      <c r="AU519" s="90"/>
      <c r="AV519" s="90"/>
      <c r="AW519" s="90"/>
      <c r="AX519" s="90"/>
      <c r="AY519" s="90"/>
      <c r="AZ519" s="90"/>
      <c r="BA519" s="90"/>
      <c r="BB519" s="90"/>
      <c r="BC519">
        <v>1</v>
      </c>
      <c r="BD519" s="89" t="str">
        <f>REPLACE(INDEX(GroupVertices[Group],MATCH(Edges[[#This Row],[Vertex 1]],GroupVertices[Vertex],0)),1,1,"")</f>
        <v>2</v>
      </c>
      <c r="BE519" s="89" t="str">
        <f>REPLACE(INDEX(GroupVertices[Group],MATCH(Edges[[#This Row],[Vertex 2]],GroupVertices[Vertex],0)),1,1,"")</f>
        <v>2</v>
      </c>
      <c r="BF519" s="49">
        <v>0</v>
      </c>
      <c r="BG519" s="50">
        <v>0</v>
      </c>
      <c r="BH519" s="49">
        <v>0</v>
      </c>
      <c r="BI519" s="50">
        <v>0</v>
      </c>
      <c r="BJ519" s="49">
        <v>0</v>
      </c>
      <c r="BK519" s="50">
        <v>0</v>
      </c>
      <c r="BL519" s="49">
        <v>37</v>
      </c>
      <c r="BM519" s="50">
        <v>100</v>
      </c>
      <c r="BN519" s="49">
        <v>37</v>
      </c>
    </row>
    <row r="520" spans="1:66" ht="15">
      <c r="A520" s="65" t="s">
        <v>373</v>
      </c>
      <c r="B520" s="65" t="s">
        <v>372</v>
      </c>
      <c r="C520" s="66" t="s">
        <v>5817</v>
      </c>
      <c r="D520" s="67">
        <v>1</v>
      </c>
      <c r="E520" s="68" t="s">
        <v>132</v>
      </c>
      <c r="F520" s="69">
        <v>32</v>
      </c>
      <c r="G520" s="66" t="s">
        <v>51</v>
      </c>
      <c r="H520" s="70"/>
      <c r="I520" s="71"/>
      <c r="J520" s="71"/>
      <c r="K520" s="35" t="s">
        <v>65</v>
      </c>
      <c r="L520" s="79">
        <v>520</v>
      </c>
      <c r="M520" s="79"/>
      <c r="N520" s="73"/>
      <c r="O520" s="90" t="s">
        <v>524</v>
      </c>
      <c r="P520" s="93">
        <v>44532.5018287037</v>
      </c>
      <c r="Q520" s="90" t="s">
        <v>679</v>
      </c>
      <c r="R520" s="96" t="str">
        <f>HYPERLINK("https://www.covid19treatmentguidelines.nih.gov/tables/table-2e/")</f>
        <v>https://www.covid19treatmentguidelines.nih.gov/tables/table-2e/</v>
      </c>
      <c r="S520" s="90" t="s">
        <v>708</v>
      </c>
      <c r="T520" s="90"/>
      <c r="U520" s="90"/>
      <c r="V520" s="96" t="str">
        <f>HYPERLINK("https://pbs.twimg.com/profile_images/1418919134243528705/xm1wKqxb_normal.jpg")</f>
        <v>https://pbs.twimg.com/profile_images/1418919134243528705/xm1wKqxb_normal.jpg</v>
      </c>
      <c r="W520" s="93">
        <v>44532.5018287037</v>
      </c>
      <c r="X520" s="100">
        <v>44532</v>
      </c>
      <c r="Y520" s="97" t="s">
        <v>958</v>
      </c>
      <c r="Z520" s="96" t="str">
        <f>HYPERLINK("https://twitter.com/iamantero/status/1466377264032010241")</f>
        <v>https://twitter.com/iamantero/status/1466377264032010241</v>
      </c>
      <c r="AA520" s="90"/>
      <c r="AB520" s="90"/>
      <c r="AC520" s="97" t="s">
        <v>1210</v>
      </c>
      <c r="AD520" s="97" t="s">
        <v>1330</v>
      </c>
      <c r="AE520" s="90" t="b">
        <v>0</v>
      </c>
      <c r="AF520" s="90">
        <v>0</v>
      </c>
      <c r="AG520" s="97" t="s">
        <v>1434</v>
      </c>
      <c r="AH520" s="90" t="b">
        <v>0</v>
      </c>
      <c r="AI520" s="90" t="s">
        <v>1442</v>
      </c>
      <c r="AJ520" s="90"/>
      <c r="AK520" s="97" t="s">
        <v>1338</v>
      </c>
      <c r="AL520" s="90" t="b">
        <v>0</v>
      </c>
      <c r="AM520" s="90">
        <v>0</v>
      </c>
      <c r="AN520" s="97" t="s">
        <v>1338</v>
      </c>
      <c r="AO520" s="97" t="s">
        <v>1450</v>
      </c>
      <c r="AP520" s="90" t="b">
        <v>0</v>
      </c>
      <c r="AQ520" s="97" t="s">
        <v>1330</v>
      </c>
      <c r="AR520" s="90" t="s">
        <v>187</v>
      </c>
      <c r="AS520" s="90">
        <v>0</v>
      </c>
      <c r="AT520" s="90">
        <v>0</v>
      </c>
      <c r="AU520" s="90"/>
      <c r="AV520" s="90"/>
      <c r="AW520" s="90"/>
      <c r="AX520" s="90"/>
      <c r="AY520" s="90"/>
      <c r="AZ520" s="90"/>
      <c r="BA520" s="90"/>
      <c r="BB520" s="90"/>
      <c r="BC520">
        <v>1</v>
      </c>
      <c r="BD520" s="89" t="str">
        <f>REPLACE(INDEX(GroupVertices[Group],MATCH(Edges[[#This Row],[Vertex 1]],GroupVertices[Vertex],0)),1,1,"")</f>
        <v>2</v>
      </c>
      <c r="BE520" s="89" t="str">
        <f>REPLACE(INDEX(GroupVertices[Group],MATCH(Edges[[#This Row],[Vertex 2]],GroupVertices[Vertex],0)),1,1,"")</f>
        <v>2</v>
      </c>
      <c r="BF520" s="49"/>
      <c r="BG520" s="50"/>
      <c r="BH520" s="49"/>
      <c r="BI520" s="50"/>
      <c r="BJ520" s="49"/>
      <c r="BK520" s="50"/>
      <c r="BL520" s="49"/>
      <c r="BM520" s="50"/>
      <c r="BN520" s="49"/>
    </row>
    <row r="521" spans="1:66" ht="15">
      <c r="A521" s="65" t="s">
        <v>373</v>
      </c>
      <c r="B521" s="65" t="s">
        <v>510</v>
      </c>
      <c r="C521" s="66" t="s">
        <v>5817</v>
      </c>
      <c r="D521" s="67">
        <v>1</v>
      </c>
      <c r="E521" s="68" t="s">
        <v>132</v>
      </c>
      <c r="F521" s="69">
        <v>32</v>
      </c>
      <c r="G521" s="66" t="s">
        <v>51</v>
      </c>
      <c r="H521" s="70"/>
      <c r="I521" s="71"/>
      <c r="J521" s="71"/>
      <c r="K521" s="35" t="s">
        <v>65</v>
      </c>
      <c r="L521" s="79">
        <v>521</v>
      </c>
      <c r="M521" s="79"/>
      <c r="N521" s="73"/>
      <c r="O521" s="90" t="s">
        <v>524</v>
      </c>
      <c r="P521" s="93">
        <v>44532.5018287037</v>
      </c>
      <c r="Q521" s="90" t="s">
        <v>679</v>
      </c>
      <c r="R521" s="96" t="str">
        <f>HYPERLINK("https://www.covid19treatmentguidelines.nih.gov/tables/table-2e/")</f>
        <v>https://www.covid19treatmentguidelines.nih.gov/tables/table-2e/</v>
      </c>
      <c r="S521" s="90" t="s">
        <v>708</v>
      </c>
      <c r="T521" s="90"/>
      <c r="U521" s="90"/>
      <c r="V521" s="96" t="str">
        <f>HYPERLINK("https://pbs.twimg.com/profile_images/1418919134243528705/xm1wKqxb_normal.jpg")</f>
        <v>https://pbs.twimg.com/profile_images/1418919134243528705/xm1wKqxb_normal.jpg</v>
      </c>
      <c r="W521" s="93">
        <v>44532.5018287037</v>
      </c>
      <c r="X521" s="100">
        <v>44532</v>
      </c>
      <c r="Y521" s="97" t="s">
        <v>958</v>
      </c>
      <c r="Z521" s="96" t="str">
        <f>HYPERLINK("https://twitter.com/iamantero/status/1466377264032010241")</f>
        <v>https://twitter.com/iamantero/status/1466377264032010241</v>
      </c>
      <c r="AA521" s="90"/>
      <c r="AB521" s="90"/>
      <c r="AC521" s="97" t="s">
        <v>1210</v>
      </c>
      <c r="AD521" s="97" t="s">
        <v>1330</v>
      </c>
      <c r="AE521" s="90" t="b">
        <v>0</v>
      </c>
      <c r="AF521" s="90">
        <v>0</v>
      </c>
      <c r="AG521" s="97" t="s">
        <v>1434</v>
      </c>
      <c r="AH521" s="90" t="b">
        <v>0</v>
      </c>
      <c r="AI521" s="90" t="s">
        <v>1442</v>
      </c>
      <c r="AJ521" s="90"/>
      <c r="AK521" s="97" t="s">
        <v>1338</v>
      </c>
      <c r="AL521" s="90" t="b">
        <v>0</v>
      </c>
      <c r="AM521" s="90">
        <v>0</v>
      </c>
      <c r="AN521" s="97" t="s">
        <v>1338</v>
      </c>
      <c r="AO521" s="97" t="s">
        <v>1450</v>
      </c>
      <c r="AP521" s="90" t="b">
        <v>0</v>
      </c>
      <c r="AQ521" s="97" t="s">
        <v>1330</v>
      </c>
      <c r="AR521" s="90" t="s">
        <v>187</v>
      </c>
      <c r="AS521" s="90">
        <v>0</v>
      </c>
      <c r="AT521" s="90">
        <v>0</v>
      </c>
      <c r="AU521" s="90"/>
      <c r="AV521" s="90"/>
      <c r="AW521" s="90"/>
      <c r="AX521" s="90"/>
      <c r="AY521" s="90"/>
      <c r="AZ521" s="90"/>
      <c r="BA521" s="90"/>
      <c r="BB521" s="90"/>
      <c r="BC521">
        <v>1</v>
      </c>
      <c r="BD521" s="89" t="str">
        <f>REPLACE(INDEX(GroupVertices[Group],MATCH(Edges[[#This Row],[Vertex 1]],GroupVertices[Vertex],0)),1,1,"")</f>
        <v>2</v>
      </c>
      <c r="BE521" s="89" t="str">
        <f>REPLACE(INDEX(GroupVertices[Group],MATCH(Edges[[#This Row],[Vertex 2]],GroupVertices[Vertex],0)),1,1,"")</f>
        <v>2</v>
      </c>
      <c r="BF521" s="49"/>
      <c r="BG521" s="50"/>
      <c r="BH521" s="49"/>
      <c r="BI521" s="50"/>
      <c r="BJ521" s="49"/>
      <c r="BK521" s="50"/>
      <c r="BL521" s="49"/>
      <c r="BM521" s="50"/>
      <c r="BN521" s="49"/>
    </row>
    <row r="522" spans="1:66" ht="15">
      <c r="A522" s="65" t="s">
        <v>373</v>
      </c>
      <c r="B522" s="65" t="s">
        <v>459</v>
      </c>
      <c r="C522" s="66" t="s">
        <v>5817</v>
      </c>
      <c r="D522" s="67">
        <v>1</v>
      </c>
      <c r="E522" s="68" t="s">
        <v>132</v>
      </c>
      <c r="F522" s="69">
        <v>32</v>
      </c>
      <c r="G522" s="66" t="s">
        <v>51</v>
      </c>
      <c r="H522" s="70"/>
      <c r="I522" s="71"/>
      <c r="J522" s="71"/>
      <c r="K522" s="35" t="s">
        <v>65</v>
      </c>
      <c r="L522" s="79">
        <v>522</v>
      </c>
      <c r="M522" s="79"/>
      <c r="N522" s="73"/>
      <c r="O522" s="90" t="s">
        <v>524</v>
      </c>
      <c r="P522" s="93">
        <v>44532.5018287037</v>
      </c>
      <c r="Q522" s="90" t="s">
        <v>679</v>
      </c>
      <c r="R522" s="96" t="str">
        <f>HYPERLINK("https://www.covid19treatmentguidelines.nih.gov/tables/table-2e/")</f>
        <v>https://www.covid19treatmentguidelines.nih.gov/tables/table-2e/</v>
      </c>
      <c r="S522" s="90" t="s">
        <v>708</v>
      </c>
      <c r="T522" s="90"/>
      <c r="U522" s="90"/>
      <c r="V522" s="96" t="str">
        <f>HYPERLINK("https://pbs.twimg.com/profile_images/1418919134243528705/xm1wKqxb_normal.jpg")</f>
        <v>https://pbs.twimg.com/profile_images/1418919134243528705/xm1wKqxb_normal.jpg</v>
      </c>
      <c r="W522" s="93">
        <v>44532.5018287037</v>
      </c>
      <c r="X522" s="100">
        <v>44532</v>
      </c>
      <c r="Y522" s="97" t="s">
        <v>958</v>
      </c>
      <c r="Z522" s="96" t="str">
        <f>HYPERLINK("https://twitter.com/iamantero/status/1466377264032010241")</f>
        <v>https://twitter.com/iamantero/status/1466377264032010241</v>
      </c>
      <c r="AA522" s="90"/>
      <c r="AB522" s="90"/>
      <c r="AC522" s="97" t="s">
        <v>1210</v>
      </c>
      <c r="AD522" s="97" t="s">
        <v>1330</v>
      </c>
      <c r="AE522" s="90" t="b">
        <v>0</v>
      </c>
      <c r="AF522" s="90">
        <v>0</v>
      </c>
      <c r="AG522" s="97" t="s">
        <v>1434</v>
      </c>
      <c r="AH522" s="90" t="b">
        <v>0</v>
      </c>
      <c r="AI522" s="90" t="s">
        <v>1442</v>
      </c>
      <c r="AJ522" s="90"/>
      <c r="AK522" s="97" t="s">
        <v>1338</v>
      </c>
      <c r="AL522" s="90" t="b">
        <v>0</v>
      </c>
      <c r="AM522" s="90">
        <v>0</v>
      </c>
      <c r="AN522" s="97" t="s">
        <v>1338</v>
      </c>
      <c r="AO522" s="97" t="s">
        <v>1450</v>
      </c>
      <c r="AP522" s="90" t="b">
        <v>0</v>
      </c>
      <c r="AQ522" s="97" t="s">
        <v>1330</v>
      </c>
      <c r="AR522" s="90" t="s">
        <v>187</v>
      </c>
      <c r="AS522" s="90">
        <v>0</v>
      </c>
      <c r="AT522" s="90">
        <v>0</v>
      </c>
      <c r="AU522" s="90"/>
      <c r="AV522" s="90"/>
      <c r="AW522" s="90"/>
      <c r="AX522" s="90"/>
      <c r="AY522" s="90"/>
      <c r="AZ522" s="90"/>
      <c r="BA522" s="90"/>
      <c r="BB522" s="90"/>
      <c r="BC522">
        <v>1</v>
      </c>
      <c r="BD522" s="89" t="str">
        <f>REPLACE(INDEX(GroupVertices[Group],MATCH(Edges[[#This Row],[Vertex 1]],GroupVertices[Vertex],0)),1,1,"")</f>
        <v>2</v>
      </c>
      <c r="BE522" s="89" t="str">
        <f>REPLACE(INDEX(GroupVertices[Group],MATCH(Edges[[#This Row],[Vertex 2]],GroupVertices[Vertex],0)),1,1,"")</f>
        <v>2</v>
      </c>
      <c r="BF522" s="49"/>
      <c r="BG522" s="50"/>
      <c r="BH522" s="49"/>
      <c r="BI522" s="50"/>
      <c r="BJ522" s="49"/>
      <c r="BK522" s="50"/>
      <c r="BL522" s="49"/>
      <c r="BM522" s="50"/>
      <c r="BN522" s="49"/>
    </row>
    <row r="523" spans="1:66" ht="15">
      <c r="A523" s="65" t="s">
        <v>373</v>
      </c>
      <c r="B523" s="65" t="s">
        <v>511</v>
      </c>
      <c r="C523" s="66" t="s">
        <v>5817</v>
      </c>
      <c r="D523" s="67">
        <v>1</v>
      </c>
      <c r="E523" s="68" t="s">
        <v>132</v>
      </c>
      <c r="F523" s="69">
        <v>32</v>
      </c>
      <c r="G523" s="66" t="s">
        <v>51</v>
      </c>
      <c r="H523" s="70"/>
      <c r="I523" s="71"/>
      <c r="J523" s="71"/>
      <c r="K523" s="35" t="s">
        <v>65</v>
      </c>
      <c r="L523" s="79">
        <v>523</v>
      </c>
      <c r="M523" s="79"/>
      <c r="N523" s="73"/>
      <c r="O523" s="90" t="s">
        <v>523</v>
      </c>
      <c r="P523" s="93">
        <v>44532.5018287037</v>
      </c>
      <c r="Q523" s="90" t="s">
        <v>679</v>
      </c>
      <c r="R523" s="96" t="str">
        <f>HYPERLINK("https://www.covid19treatmentguidelines.nih.gov/tables/table-2e/")</f>
        <v>https://www.covid19treatmentguidelines.nih.gov/tables/table-2e/</v>
      </c>
      <c r="S523" s="90" t="s">
        <v>708</v>
      </c>
      <c r="T523" s="90"/>
      <c r="U523" s="90"/>
      <c r="V523" s="96" t="str">
        <f>HYPERLINK("https://pbs.twimg.com/profile_images/1418919134243528705/xm1wKqxb_normal.jpg")</f>
        <v>https://pbs.twimg.com/profile_images/1418919134243528705/xm1wKqxb_normal.jpg</v>
      </c>
      <c r="W523" s="93">
        <v>44532.5018287037</v>
      </c>
      <c r="X523" s="100">
        <v>44532</v>
      </c>
      <c r="Y523" s="97" t="s">
        <v>958</v>
      </c>
      <c r="Z523" s="96" t="str">
        <f>HYPERLINK("https://twitter.com/iamantero/status/1466377264032010241")</f>
        <v>https://twitter.com/iamantero/status/1466377264032010241</v>
      </c>
      <c r="AA523" s="90"/>
      <c r="AB523" s="90"/>
      <c r="AC523" s="97" t="s">
        <v>1210</v>
      </c>
      <c r="AD523" s="97" t="s">
        <v>1330</v>
      </c>
      <c r="AE523" s="90" t="b">
        <v>0</v>
      </c>
      <c r="AF523" s="90">
        <v>0</v>
      </c>
      <c r="AG523" s="97" t="s">
        <v>1434</v>
      </c>
      <c r="AH523" s="90" t="b">
        <v>0</v>
      </c>
      <c r="AI523" s="90" t="s">
        <v>1442</v>
      </c>
      <c r="AJ523" s="90"/>
      <c r="AK523" s="97" t="s">
        <v>1338</v>
      </c>
      <c r="AL523" s="90" t="b">
        <v>0</v>
      </c>
      <c r="AM523" s="90">
        <v>0</v>
      </c>
      <c r="AN523" s="97" t="s">
        <v>1338</v>
      </c>
      <c r="AO523" s="97" t="s">
        <v>1450</v>
      </c>
      <c r="AP523" s="90" t="b">
        <v>0</v>
      </c>
      <c r="AQ523" s="97" t="s">
        <v>1330</v>
      </c>
      <c r="AR523" s="90" t="s">
        <v>187</v>
      </c>
      <c r="AS523" s="90">
        <v>0</v>
      </c>
      <c r="AT523" s="90">
        <v>0</v>
      </c>
      <c r="AU523" s="90"/>
      <c r="AV523" s="90"/>
      <c r="AW523" s="90"/>
      <c r="AX523" s="90"/>
      <c r="AY523" s="90"/>
      <c r="AZ523" s="90"/>
      <c r="BA523" s="90"/>
      <c r="BB523" s="90"/>
      <c r="BC523">
        <v>1</v>
      </c>
      <c r="BD523" s="89" t="str">
        <f>REPLACE(INDEX(GroupVertices[Group],MATCH(Edges[[#This Row],[Vertex 1]],GroupVertices[Vertex],0)),1,1,"")</f>
        <v>2</v>
      </c>
      <c r="BE523" s="89" t="str">
        <f>REPLACE(INDEX(GroupVertices[Group],MATCH(Edges[[#This Row],[Vertex 2]],GroupVertices[Vertex],0)),1,1,"")</f>
        <v>2</v>
      </c>
      <c r="BF523" s="49">
        <v>0</v>
      </c>
      <c r="BG523" s="50">
        <v>0</v>
      </c>
      <c r="BH523" s="49">
        <v>0</v>
      </c>
      <c r="BI523" s="50">
        <v>0</v>
      </c>
      <c r="BJ523" s="49">
        <v>0</v>
      </c>
      <c r="BK523" s="50">
        <v>0</v>
      </c>
      <c r="BL523" s="49">
        <v>25</v>
      </c>
      <c r="BM523" s="50">
        <v>100</v>
      </c>
      <c r="BN523" s="49">
        <v>25</v>
      </c>
    </row>
    <row r="524" spans="1:66" ht="15">
      <c r="A524" s="65" t="s">
        <v>373</v>
      </c>
      <c r="B524" s="65" t="s">
        <v>373</v>
      </c>
      <c r="C524" s="66" t="s">
        <v>5817</v>
      </c>
      <c r="D524" s="67">
        <v>1</v>
      </c>
      <c r="E524" s="68" t="s">
        <v>132</v>
      </c>
      <c r="F524" s="69">
        <v>32</v>
      </c>
      <c r="G524" s="66" t="s">
        <v>51</v>
      </c>
      <c r="H524" s="70"/>
      <c r="I524" s="71"/>
      <c r="J524" s="71"/>
      <c r="K524" s="35" t="s">
        <v>65</v>
      </c>
      <c r="L524" s="79">
        <v>524</v>
      </c>
      <c r="M524" s="79"/>
      <c r="N524" s="73"/>
      <c r="O524" s="90" t="s">
        <v>187</v>
      </c>
      <c r="P524" s="93">
        <v>44533.88384259259</v>
      </c>
      <c r="Q524" s="90" t="s">
        <v>680</v>
      </c>
      <c r="R524" s="90"/>
      <c r="S524" s="90"/>
      <c r="T524" s="90"/>
      <c r="U524" s="96" t="str">
        <f>HYPERLINK("https://pbs.twimg.com/ext_tw_video_thumb/1466878001073770502/pu/img/4EjhytI0eP2JzGuN.jpg")</f>
        <v>https://pbs.twimg.com/ext_tw_video_thumb/1466878001073770502/pu/img/4EjhytI0eP2JzGuN.jpg</v>
      </c>
      <c r="V524" s="96" t="str">
        <f>HYPERLINK("https://pbs.twimg.com/ext_tw_video_thumb/1466878001073770502/pu/img/4EjhytI0eP2JzGuN.jpg")</f>
        <v>https://pbs.twimg.com/ext_tw_video_thumb/1466878001073770502/pu/img/4EjhytI0eP2JzGuN.jpg</v>
      </c>
      <c r="W524" s="93">
        <v>44533.88384259259</v>
      </c>
      <c r="X524" s="100">
        <v>44533</v>
      </c>
      <c r="Y524" s="97" t="s">
        <v>959</v>
      </c>
      <c r="Z524" s="96" t="str">
        <f>HYPERLINK("https://twitter.com/iamantero/status/1466878087610646531")</f>
        <v>https://twitter.com/iamantero/status/1466878087610646531</v>
      </c>
      <c r="AA524" s="90"/>
      <c r="AB524" s="90"/>
      <c r="AC524" s="97" t="s">
        <v>1211</v>
      </c>
      <c r="AD524" s="97" t="s">
        <v>1331</v>
      </c>
      <c r="AE524" s="90" t="b">
        <v>0</v>
      </c>
      <c r="AF524" s="90">
        <v>0</v>
      </c>
      <c r="AG524" s="97" t="s">
        <v>1435</v>
      </c>
      <c r="AH524" s="90" t="b">
        <v>0</v>
      </c>
      <c r="AI524" s="90" t="s">
        <v>1442</v>
      </c>
      <c r="AJ524" s="90"/>
      <c r="AK524" s="97" t="s">
        <v>1338</v>
      </c>
      <c r="AL524" s="90" t="b">
        <v>0</v>
      </c>
      <c r="AM524" s="90">
        <v>0</v>
      </c>
      <c r="AN524" s="97" t="s">
        <v>1338</v>
      </c>
      <c r="AO524" s="97" t="s">
        <v>1452</v>
      </c>
      <c r="AP524" s="90" t="b">
        <v>0</v>
      </c>
      <c r="AQ524" s="97" t="s">
        <v>1331</v>
      </c>
      <c r="AR524" s="90" t="s">
        <v>187</v>
      </c>
      <c r="AS524" s="90">
        <v>0</v>
      </c>
      <c r="AT524" s="90">
        <v>0</v>
      </c>
      <c r="AU524" s="90"/>
      <c r="AV524" s="90"/>
      <c r="AW524" s="90"/>
      <c r="AX524" s="90"/>
      <c r="AY524" s="90"/>
      <c r="AZ524" s="90"/>
      <c r="BA524" s="90"/>
      <c r="BB524" s="90"/>
      <c r="BC524">
        <v>1</v>
      </c>
      <c r="BD524" s="89" t="str">
        <f>REPLACE(INDEX(GroupVertices[Group],MATCH(Edges[[#This Row],[Vertex 1]],GroupVertices[Vertex],0)),1,1,"")</f>
        <v>2</v>
      </c>
      <c r="BE524" s="89" t="str">
        <f>REPLACE(INDEX(GroupVertices[Group],MATCH(Edges[[#This Row],[Vertex 2]],GroupVertices[Vertex],0)),1,1,"")</f>
        <v>2</v>
      </c>
      <c r="BF524" s="49">
        <v>0</v>
      </c>
      <c r="BG524" s="50">
        <v>0</v>
      </c>
      <c r="BH524" s="49">
        <v>0</v>
      </c>
      <c r="BI524" s="50">
        <v>0</v>
      </c>
      <c r="BJ524" s="49">
        <v>0</v>
      </c>
      <c r="BK524" s="50">
        <v>0</v>
      </c>
      <c r="BL524" s="49">
        <v>11</v>
      </c>
      <c r="BM524" s="50">
        <v>100</v>
      </c>
      <c r="BN524" s="49">
        <v>11</v>
      </c>
    </row>
    <row r="525" spans="1:66" ht="15">
      <c r="A525" s="65" t="s">
        <v>374</v>
      </c>
      <c r="B525" s="65" t="s">
        <v>434</v>
      </c>
      <c r="C525" s="66" t="s">
        <v>5817</v>
      </c>
      <c r="D525" s="67">
        <v>1</v>
      </c>
      <c r="E525" s="68" t="s">
        <v>132</v>
      </c>
      <c r="F525" s="69">
        <v>32</v>
      </c>
      <c r="G525" s="66" t="s">
        <v>51</v>
      </c>
      <c r="H525" s="70"/>
      <c r="I525" s="71"/>
      <c r="J525" s="71"/>
      <c r="K525" s="35" t="s">
        <v>65</v>
      </c>
      <c r="L525" s="79">
        <v>525</v>
      </c>
      <c r="M525" s="79"/>
      <c r="N525" s="73"/>
      <c r="O525" s="90" t="s">
        <v>523</v>
      </c>
      <c r="P525" s="93">
        <v>44521.560949074075</v>
      </c>
      <c r="Q525" s="90" t="s">
        <v>578</v>
      </c>
      <c r="R525" s="96" t="str">
        <f>HYPERLINK("https://twitter.com/OKuokka/status/1448586562934018050")</f>
        <v>https://twitter.com/OKuokka/status/1448586562934018050</v>
      </c>
      <c r="S525" s="90" t="s">
        <v>693</v>
      </c>
      <c r="T525" s="90"/>
      <c r="U525" s="90"/>
      <c r="V525" s="96" t="str">
        <f>HYPERLINK("https://pbs.twimg.com/profile_images/1348020814772371456/rYnwJnyO_normal.jpg")</f>
        <v>https://pbs.twimg.com/profile_images/1348020814772371456/rYnwJnyO_normal.jpg</v>
      </c>
      <c r="W525" s="93">
        <v>44521.560949074075</v>
      </c>
      <c r="X525" s="100">
        <v>44521</v>
      </c>
      <c r="Y525" s="97" t="s">
        <v>960</v>
      </c>
      <c r="Z525" s="96" t="str">
        <f>HYPERLINK("https://twitter.com/okuokka/status/1462412422380236817")</f>
        <v>https://twitter.com/okuokka/status/1462412422380236817</v>
      </c>
      <c r="AA525" s="90"/>
      <c r="AB525" s="90"/>
      <c r="AC525" s="97" t="s">
        <v>1212</v>
      </c>
      <c r="AD525" s="97" t="s">
        <v>1282</v>
      </c>
      <c r="AE525" s="90" t="b">
        <v>0</v>
      </c>
      <c r="AF525" s="90">
        <v>120</v>
      </c>
      <c r="AG525" s="97" t="s">
        <v>1398</v>
      </c>
      <c r="AH525" s="90" t="b">
        <v>1</v>
      </c>
      <c r="AI525" s="90" t="s">
        <v>1442</v>
      </c>
      <c r="AJ525" s="90"/>
      <c r="AK525" s="97" t="s">
        <v>1216</v>
      </c>
      <c r="AL525" s="90" t="b">
        <v>0</v>
      </c>
      <c r="AM525" s="90">
        <v>8</v>
      </c>
      <c r="AN525" s="97" t="s">
        <v>1338</v>
      </c>
      <c r="AO525" s="97" t="s">
        <v>1451</v>
      </c>
      <c r="AP525" s="90" t="b">
        <v>0</v>
      </c>
      <c r="AQ525" s="97" t="s">
        <v>1282</v>
      </c>
      <c r="AR525" s="90" t="s">
        <v>522</v>
      </c>
      <c r="AS525" s="90">
        <v>0</v>
      </c>
      <c r="AT525" s="90">
        <v>0</v>
      </c>
      <c r="AU525" s="90"/>
      <c r="AV525" s="90"/>
      <c r="AW525" s="90"/>
      <c r="AX525" s="90"/>
      <c r="AY525" s="90"/>
      <c r="AZ525" s="90"/>
      <c r="BA525" s="90"/>
      <c r="BB525" s="90"/>
      <c r="BC525">
        <v>1</v>
      </c>
      <c r="BD525" s="89" t="str">
        <f>REPLACE(INDEX(GroupVertices[Group],MATCH(Edges[[#This Row],[Vertex 1]],GroupVertices[Vertex],0)),1,1,"")</f>
        <v>1</v>
      </c>
      <c r="BE525" s="89" t="str">
        <f>REPLACE(INDEX(GroupVertices[Group],MATCH(Edges[[#This Row],[Vertex 2]],GroupVertices[Vertex],0)),1,1,"")</f>
        <v>1</v>
      </c>
      <c r="BF525" s="49">
        <v>0</v>
      </c>
      <c r="BG525" s="50">
        <v>0</v>
      </c>
      <c r="BH525" s="49">
        <v>0</v>
      </c>
      <c r="BI525" s="50">
        <v>0</v>
      </c>
      <c r="BJ525" s="49">
        <v>0</v>
      </c>
      <c r="BK525" s="50">
        <v>0</v>
      </c>
      <c r="BL525" s="49">
        <v>14</v>
      </c>
      <c r="BM525" s="50">
        <v>100</v>
      </c>
      <c r="BN525" s="49">
        <v>14</v>
      </c>
    </row>
    <row r="526" spans="1:66" ht="15">
      <c r="A526" s="65" t="s">
        <v>374</v>
      </c>
      <c r="B526" s="65" t="s">
        <v>512</v>
      </c>
      <c r="C526" s="66" t="s">
        <v>5817</v>
      </c>
      <c r="D526" s="67">
        <v>1</v>
      </c>
      <c r="E526" s="68" t="s">
        <v>132</v>
      </c>
      <c r="F526" s="69">
        <v>32</v>
      </c>
      <c r="G526" s="66" t="s">
        <v>51</v>
      </c>
      <c r="H526" s="70"/>
      <c r="I526" s="71"/>
      <c r="J526" s="71"/>
      <c r="K526" s="35" t="s">
        <v>65</v>
      </c>
      <c r="L526" s="79">
        <v>526</v>
      </c>
      <c r="M526" s="79"/>
      <c r="N526" s="73"/>
      <c r="O526" s="90" t="s">
        <v>524</v>
      </c>
      <c r="P526" s="93">
        <v>44526.293229166666</v>
      </c>
      <c r="Q526" s="90" t="s">
        <v>681</v>
      </c>
      <c r="R526" s="96" t="str">
        <f>HYPERLINK("https://twitter.com/OKuokka/status/1463819121091563522")</f>
        <v>https://twitter.com/OKuokka/status/1463819121091563522</v>
      </c>
      <c r="S526" s="90" t="s">
        <v>693</v>
      </c>
      <c r="T526" s="90"/>
      <c r="U526" s="90"/>
      <c r="V526" s="96" t="str">
        <f>HYPERLINK("https://pbs.twimg.com/profile_images/1348020814772371456/rYnwJnyO_normal.jpg")</f>
        <v>https://pbs.twimg.com/profile_images/1348020814772371456/rYnwJnyO_normal.jpg</v>
      </c>
      <c r="W526" s="93">
        <v>44526.293229166666</v>
      </c>
      <c r="X526" s="100">
        <v>44526</v>
      </c>
      <c r="Y526" s="97" t="s">
        <v>961</v>
      </c>
      <c r="Z526" s="96" t="str">
        <f>HYPERLINK("https://twitter.com/okuokka/status/1464127343853723674")</f>
        <v>https://twitter.com/okuokka/status/1464127343853723674</v>
      </c>
      <c r="AA526" s="90"/>
      <c r="AB526" s="90"/>
      <c r="AC526" s="97" t="s">
        <v>1213</v>
      </c>
      <c r="AD526" s="97" t="s">
        <v>1332</v>
      </c>
      <c r="AE526" s="90" t="b">
        <v>0</v>
      </c>
      <c r="AF526" s="90">
        <v>0</v>
      </c>
      <c r="AG526" s="97" t="s">
        <v>1436</v>
      </c>
      <c r="AH526" s="90" t="b">
        <v>1</v>
      </c>
      <c r="AI526" s="90" t="s">
        <v>1442</v>
      </c>
      <c r="AJ526" s="90"/>
      <c r="AK526" s="97" t="s">
        <v>1449</v>
      </c>
      <c r="AL526" s="90" t="b">
        <v>0</v>
      </c>
      <c r="AM526" s="90">
        <v>0</v>
      </c>
      <c r="AN526" s="97" t="s">
        <v>1338</v>
      </c>
      <c r="AO526" s="97" t="s">
        <v>1451</v>
      </c>
      <c r="AP526" s="90" t="b">
        <v>0</v>
      </c>
      <c r="AQ526" s="97" t="s">
        <v>1332</v>
      </c>
      <c r="AR526" s="90" t="s">
        <v>187</v>
      </c>
      <c r="AS526" s="90">
        <v>0</v>
      </c>
      <c r="AT526" s="90">
        <v>0</v>
      </c>
      <c r="AU526" s="90"/>
      <c r="AV526" s="90"/>
      <c r="AW526" s="90"/>
      <c r="AX526" s="90"/>
      <c r="AY526" s="90"/>
      <c r="AZ526" s="90"/>
      <c r="BA526" s="90"/>
      <c r="BB526" s="90"/>
      <c r="BC526">
        <v>1</v>
      </c>
      <c r="BD526" s="89" t="str">
        <f>REPLACE(INDEX(GroupVertices[Group],MATCH(Edges[[#This Row],[Vertex 1]],GroupVertices[Vertex],0)),1,1,"")</f>
        <v>1</v>
      </c>
      <c r="BE526" s="89" t="str">
        <f>REPLACE(INDEX(GroupVertices[Group],MATCH(Edges[[#This Row],[Vertex 2]],GroupVertices[Vertex],0)),1,1,"")</f>
        <v>1</v>
      </c>
      <c r="BF526" s="49"/>
      <c r="BG526" s="50"/>
      <c r="BH526" s="49"/>
      <c r="BI526" s="50"/>
      <c r="BJ526" s="49"/>
      <c r="BK526" s="50"/>
      <c r="BL526" s="49"/>
      <c r="BM526" s="50"/>
      <c r="BN526" s="49"/>
    </row>
    <row r="527" spans="1:66" ht="15">
      <c r="A527" s="65" t="s">
        <v>374</v>
      </c>
      <c r="B527" s="65" t="s">
        <v>513</v>
      </c>
      <c r="C527" s="66" t="s">
        <v>5817</v>
      </c>
      <c r="D527" s="67">
        <v>1</v>
      </c>
      <c r="E527" s="68" t="s">
        <v>132</v>
      </c>
      <c r="F527" s="69">
        <v>32</v>
      </c>
      <c r="G527" s="66" t="s">
        <v>51</v>
      </c>
      <c r="H527" s="70"/>
      <c r="I527" s="71"/>
      <c r="J527" s="71"/>
      <c r="K527" s="35" t="s">
        <v>65</v>
      </c>
      <c r="L527" s="79">
        <v>527</v>
      </c>
      <c r="M527" s="79"/>
      <c r="N527" s="73"/>
      <c r="O527" s="90" t="s">
        <v>523</v>
      </c>
      <c r="P527" s="93">
        <v>44526.293229166666</v>
      </c>
      <c r="Q527" s="90" t="s">
        <v>681</v>
      </c>
      <c r="R527" s="96" t="str">
        <f>HYPERLINK("https://twitter.com/OKuokka/status/1463819121091563522")</f>
        <v>https://twitter.com/OKuokka/status/1463819121091563522</v>
      </c>
      <c r="S527" s="90" t="s">
        <v>693</v>
      </c>
      <c r="T527" s="90"/>
      <c r="U527" s="90"/>
      <c r="V527" s="96" t="str">
        <f>HYPERLINK("https://pbs.twimg.com/profile_images/1348020814772371456/rYnwJnyO_normal.jpg")</f>
        <v>https://pbs.twimg.com/profile_images/1348020814772371456/rYnwJnyO_normal.jpg</v>
      </c>
      <c r="W527" s="93">
        <v>44526.293229166666</v>
      </c>
      <c r="X527" s="100">
        <v>44526</v>
      </c>
      <c r="Y527" s="97" t="s">
        <v>961</v>
      </c>
      <c r="Z527" s="96" t="str">
        <f>HYPERLINK("https://twitter.com/okuokka/status/1464127343853723674")</f>
        <v>https://twitter.com/okuokka/status/1464127343853723674</v>
      </c>
      <c r="AA527" s="90"/>
      <c r="AB527" s="90"/>
      <c r="AC527" s="97" t="s">
        <v>1213</v>
      </c>
      <c r="AD527" s="97" t="s">
        <v>1332</v>
      </c>
      <c r="AE527" s="90" t="b">
        <v>0</v>
      </c>
      <c r="AF527" s="90">
        <v>0</v>
      </c>
      <c r="AG527" s="97" t="s">
        <v>1436</v>
      </c>
      <c r="AH527" s="90" t="b">
        <v>1</v>
      </c>
      <c r="AI527" s="90" t="s">
        <v>1442</v>
      </c>
      <c r="AJ527" s="90"/>
      <c r="AK527" s="97" t="s">
        <v>1449</v>
      </c>
      <c r="AL527" s="90" t="b">
        <v>0</v>
      </c>
      <c r="AM527" s="90">
        <v>0</v>
      </c>
      <c r="AN527" s="97" t="s">
        <v>1338</v>
      </c>
      <c r="AO527" s="97" t="s">
        <v>1451</v>
      </c>
      <c r="AP527" s="90" t="b">
        <v>0</v>
      </c>
      <c r="AQ527" s="97" t="s">
        <v>1332</v>
      </c>
      <c r="AR527" s="90" t="s">
        <v>187</v>
      </c>
      <c r="AS527" s="90">
        <v>0</v>
      </c>
      <c r="AT527" s="90">
        <v>0</v>
      </c>
      <c r="AU527" s="90"/>
      <c r="AV527" s="90"/>
      <c r="AW527" s="90"/>
      <c r="AX527" s="90"/>
      <c r="AY527" s="90"/>
      <c r="AZ527" s="90"/>
      <c r="BA527" s="90"/>
      <c r="BB527" s="90"/>
      <c r="BC527">
        <v>1</v>
      </c>
      <c r="BD527" s="89" t="str">
        <f>REPLACE(INDEX(GroupVertices[Group],MATCH(Edges[[#This Row],[Vertex 1]],GroupVertices[Vertex],0)),1,1,"")</f>
        <v>1</v>
      </c>
      <c r="BE527" s="89" t="str">
        <f>REPLACE(INDEX(GroupVertices[Group],MATCH(Edges[[#This Row],[Vertex 2]],GroupVertices[Vertex],0)),1,1,"")</f>
        <v>1</v>
      </c>
      <c r="BF527" s="49">
        <v>0</v>
      </c>
      <c r="BG527" s="50">
        <v>0</v>
      </c>
      <c r="BH527" s="49">
        <v>0</v>
      </c>
      <c r="BI527" s="50">
        <v>0</v>
      </c>
      <c r="BJ527" s="49">
        <v>0</v>
      </c>
      <c r="BK527" s="50">
        <v>0</v>
      </c>
      <c r="BL527" s="49">
        <v>35</v>
      </c>
      <c r="BM527" s="50">
        <v>100</v>
      </c>
      <c r="BN527" s="49">
        <v>35</v>
      </c>
    </row>
    <row r="528" spans="1:66" ht="15">
      <c r="A528" s="65" t="s">
        <v>374</v>
      </c>
      <c r="B528" s="65" t="s">
        <v>514</v>
      </c>
      <c r="C528" s="66" t="s">
        <v>5817</v>
      </c>
      <c r="D528" s="67">
        <v>1</v>
      </c>
      <c r="E528" s="68" t="s">
        <v>132</v>
      </c>
      <c r="F528" s="69">
        <v>32</v>
      </c>
      <c r="G528" s="66" t="s">
        <v>51</v>
      </c>
      <c r="H528" s="70"/>
      <c r="I528" s="71"/>
      <c r="J528" s="71"/>
      <c r="K528" s="35" t="s">
        <v>65</v>
      </c>
      <c r="L528" s="79">
        <v>528</v>
      </c>
      <c r="M528" s="79"/>
      <c r="N528" s="73"/>
      <c r="O528" s="90" t="s">
        <v>524</v>
      </c>
      <c r="P528" s="93">
        <v>44533.89946759259</v>
      </c>
      <c r="Q528" s="90" t="s">
        <v>682</v>
      </c>
      <c r="R528" s="90"/>
      <c r="S528" s="90"/>
      <c r="T528" s="90"/>
      <c r="U528" s="90"/>
      <c r="V528" s="96" t="str">
        <f>HYPERLINK("https://pbs.twimg.com/profile_images/1348020814772371456/rYnwJnyO_normal.jpg")</f>
        <v>https://pbs.twimg.com/profile_images/1348020814772371456/rYnwJnyO_normal.jpg</v>
      </c>
      <c r="W528" s="93">
        <v>44533.89946759259</v>
      </c>
      <c r="X528" s="100">
        <v>44533</v>
      </c>
      <c r="Y528" s="97" t="s">
        <v>962</v>
      </c>
      <c r="Z528" s="96" t="str">
        <f>HYPERLINK("https://twitter.com/okuokka/status/1466883751649189893")</f>
        <v>https://twitter.com/okuokka/status/1466883751649189893</v>
      </c>
      <c r="AA528" s="90"/>
      <c r="AB528" s="90"/>
      <c r="AC528" s="97" t="s">
        <v>1214</v>
      </c>
      <c r="AD528" s="97" t="s">
        <v>1333</v>
      </c>
      <c r="AE528" s="90" t="b">
        <v>0</v>
      </c>
      <c r="AF528" s="90">
        <v>2</v>
      </c>
      <c r="AG528" s="97" t="s">
        <v>1437</v>
      </c>
      <c r="AH528" s="90" t="b">
        <v>0</v>
      </c>
      <c r="AI528" s="90" t="s">
        <v>1442</v>
      </c>
      <c r="AJ528" s="90"/>
      <c r="AK528" s="97" t="s">
        <v>1338</v>
      </c>
      <c r="AL528" s="90" t="b">
        <v>0</v>
      </c>
      <c r="AM528" s="90">
        <v>0</v>
      </c>
      <c r="AN528" s="97" t="s">
        <v>1338</v>
      </c>
      <c r="AO528" s="97" t="s">
        <v>1451</v>
      </c>
      <c r="AP528" s="90" t="b">
        <v>0</v>
      </c>
      <c r="AQ528" s="97" t="s">
        <v>1333</v>
      </c>
      <c r="AR528" s="90" t="s">
        <v>187</v>
      </c>
      <c r="AS528" s="90">
        <v>0</v>
      </c>
      <c r="AT528" s="90">
        <v>0</v>
      </c>
      <c r="AU528" s="90"/>
      <c r="AV528" s="90"/>
      <c r="AW528" s="90"/>
      <c r="AX528" s="90"/>
      <c r="AY528" s="90"/>
      <c r="AZ528" s="90"/>
      <c r="BA528" s="90"/>
      <c r="BB528" s="90"/>
      <c r="BC528">
        <v>1</v>
      </c>
      <c r="BD528" s="89" t="str">
        <f>REPLACE(INDEX(GroupVertices[Group],MATCH(Edges[[#This Row],[Vertex 1]],GroupVertices[Vertex],0)),1,1,"")</f>
        <v>1</v>
      </c>
      <c r="BE528" s="89" t="str">
        <f>REPLACE(INDEX(GroupVertices[Group],MATCH(Edges[[#This Row],[Vertex 2]],GroupVertices[Vertex],0)),1,1,"")</f>
        <v>1</v>
      </c>
      <c r="BF528" s="49"/>
      <c r="BG528" s="50"/>
      <c r="BH528" s="49"/>
      <c r="BI528" s="50"/>
      <c r="BJ528" s="49"/>
      <c r="BK528" s="50"/>
      <c r="BL528" s="49"/>
      <c r="BM528" s="50"/>
      <c r="BN528" s="49"/>
    </row>
    <row r="529" spans="1:66" ht="15">
      <c r="A529" s="65" t="s">
        <v>374</v>
      </c>
      <c r="B529" s="65" t="s">
        <v>515</v>
      </c>
      <c r="C529" s="66" t="s">
        <v>5817</v>
      </c>
      <c r="D529" s="67">
        <v>1</v>
      </c>
      <c r="E529" s="68" t="s">
        <v>132</v>
      </c>
      <c r="F529" s="69">
        <v>32</v>
      </c>
      <c r="G529" s="66" t="s">
        <v>51</v>
      </c>
      <c r="H529" s="70"/>
      <c r="I529" s="71"/>
      <c r="J529" s="71"/>
      <c r="K529" s="35" t="s">
        <v>65</v>
      </c>
      <c r="L529" s="79">
        <v>529</v>
      </c>
      <c r="M529" s="79"/>
      <c r="N529" s="73"/>
      <c r="O529" s="90" t="s">
        <v>524</v>
      </c>
      <c r="P529" s="93">
        <v>44533.89946759259</v>
      </c>
      <c r="Q529" s="90" t="s">
        <v>682</v>
      </c>
      <c r="R529" s="90"/>
      <c r="S529" s="90"/>
      <c r="T529" s="90"/>
      <c r="U529" s="90"/>
      <c r="V529" s="96" t="str">
        <f>HYPERLINK("https://pbs.twimg.com/profile_images/1348020814772371456/rYnwJnyO_normal.jpg")</f>
        <v>https://pbs.twimg.com/profile_images/1348020814772371456/rYnwJnyO_normal.jpg</v>
      </c>
      <c r="W529" s="93">
        <v>44533.89946759259</v>
      </c>
      <c r="X529" s="100">
        <v>44533</v>
      </c>
      <c r="Y529" s="97" t="s">
        <v>962</v>
      </c>
      <c r="Z529" s="96" t="str">
        <f>HYPERLINK("https://twitter.com/okuokka/status/1466883751649189893")</f>
        <v>https://twitter.com/okuokka/status/1466883751649189893</v>
      </c>
      <c r="AA529" s="90"/>
      <c r="AB529" s="90"/>
      <c r="AC529" s="97" t="s">
        <v>1214</v>
      </c>
      <c r="AD529" s="97" t="s">
        <v>1333</v>
      </c>
      <c r="AE529" s="90" t="b">
        <v>0</v>
      </c>
      <c r="AF529" s="90">
        <v>2</v>
      </c>
      <c r="AG529" s="97" t="s">
        <v>1437</v>
      </c>
      <c r="AH529" s="90" t="b">
        <v>0</v>
      </c>
      <c r="AI529" s="90" t="s">
        <v>1442</v>
      </c>
      <c r="AJ529" s="90"/>
      <c r="AK529" s="97" t="s">
        <v>1338</v>
      </c>
      <c r="AL529" s="90" t="b">
        <v>0</v>
      </c>
      <c r="AM529" s="90">
        <v>0</v>
      </c>
      <c r="AN529" s="97" t="s">
        <v>1338</v>
      </c>
      <c r="AO529" s="97" t="s">
        <v>1451</v>
      </c>
      <c r="AP529" s="90" t="b">
        <v>0</v>
      </c>
      <c r="AQ529" s="97" t="s">
        <v>1333</v>
      </c>
      <c r="AR529" s="90" t="s">
        <v>187</v>
      </c>
      <c r="AS529" s="90">
        <v>0</v>
      </c>
      <c r="AT529" s="90">
        <v>0</v>
      </c>
      <c r="AU529" s="90"/>
      <c r="AV529" s="90"/>
      <c r="AW529" s="90"/>
      <c r="AX529" s="90"/>
      <c r="AY529" s="90"/>
      <c r="AZ529" s="90"/>
      <c r="BA529" s="90"/>
      <c r="BB529" s="90"/>
      <c r="BC529">
        <v>1</v>
      </c>
      <c r="BD529" s="89" t="str">
        <f>REPLACE(INDEX(GroupVertices[Group],MATCH(Edges[[#This Row],[Vertex 1]],GroupVertices[Vertex],0)),1,1,"")</f>
        <v>1</v>
      </c>
      <c r="BE529" s="89" t="str">
        <f>REPLACE(INDEX(GroupVertices[Group],MATCH(Edges[[#This Row],[Vertex 2]],GroupVertices[Vertex],0)),1,1,"")</f>
        <v>1</v>
      </c>
      <c r="BF529" s="49"/>
      <c r="BG529" s="50"/>
      <c r="BH529" s="49"/>
      <c r="BI529" s="50"/>
      <c r="BJ529" s="49"/>
      <c r="BK529" s="50"/>
      <c r="BL529" s="49"/>
      <c r="BM529" s="50"/>
      <c r="BN529" s="49"/>
    </row>
    <row r="530" spans="1:66" ht="15">
      <c r="A530" s="65" t="s">
        <v>374</v>
      </c>
      <c r="B530" s="65" t="s">
        <v>516</v>
      </c>
      <c r="C530" s="66" t="s">
        <v>5817</v>
      </c>
      <c r="D530" s="67">
        <v>1</v>
      </c>
      <c r="E530" s="68" t="s">
        <v>132</v>
      </c>
      <c r="F530" s="69">
        <v>32</v>
      </c>
      <c r="G530" s="66" t="s">
        <v>51</v>
      </c>
      <c r="H530" s="70"/>
      <c r="I530" s="71"/>
      <c r="J530" s="71"/>
      <c r="K530" s="35" t="s">
        <v>65</v>
      </c>
      <c r="L530" s="79">
        <v>530</v>
      </c>
      <c r="M530" s="79"/>
      <c r="N530" s="73"/>
      <c r="O530" s="90" t="s">
        <v>523</v>
      </c>
      <c r="P530" s="93">
        <v>44533.89946759259</v>
      </c>
      <c r="Q530" s="90" t="s">
        <v>682</v>
      </c>
      <c r="R530" s="90"/>
      <c r="S530" s="90"/>
      <c r="T530" s="90"/>
      <c r="U530" s="90"/>
      <c r="V530" s="96" t="str">
        <f>HYPERLINK("https://pbs.twimg.com/profile_images/1348020814772371456/rYnwJnyO_normal.jpg")</f>
        <v>https://pbs.twimg.com/profile_images/1348020814772371456/rYnwJnyO_normal.jpg</v>
      </c>
      <c r="W530" s="93">
        <v>44533.89946759259</v>
      </c>
      <c r="X530" s="100">
        <v>44533</v>
      </c>
      <c r="Y530" s="97" t="s">
        <v>962</v>
      </c>
      <c r="Z530" s="96" t="str">
        <f>HYPERLINK("https://twitter.com/okuokka/status/1466883751649189893")</f>
        <v>https://twitter.com/okuokka/status/1466883751649189893</v>
      </c>
      <c r="AA530" s="90"/>
      <c r="AB530" s="90"/>
      <c r="AC530" s="97" t="s">
        <v>1214</v>
      </c>
      <c r="AD530" s="97" t="s">
        <v>1333</v>
      </c>
      <c r="AE530" s="90" t="b">
        <v>0</v>
      </c>
      <c r="AF530" s="90">
        <v>2</v>
      </c>
      <c r="AG530" s="97" t="s">
        <v>1437</v>
      </c>
      <c r="AH530" s="90" t="b">
        <v>0</v>
      </c>
      <c r="AI530" s="90" t="s">
        <v>1442</v>
      </c>
      <c r="AJ530" s="90"/>
      <c r="AK530" s="97" t="s">
        <v>1338</v>
      </c>
      <c r="AL530" s="90" t="b">
        <v>0</v>
      </c>
      <c r="AM530" s="90">
        <v>0</v>
      </c>
      <c r="AN530" s="97" t="s">
        <v>1338</v>
      </c>
      <c r="AO530" s="97" t="s">
        <v>1451</v>
      </c>
      <c r="AP530" s="90" t="b">
        <v>0</v>
      </c>
      <c r="AQ530" s="97" t="s">
        <v>1333</v>
      </c>
      <c r="AR530" s="90" t="s">
        <v>187</v>
      </c>
      <c r="AS530" s="90">
        <v>0</v>
      </c>
      <c r="AT530" s="90">
        <v>0</v>
      </c>
      <c r="AU530" s="90"/>
      <c r="AV530" s="90"/>
      <c r="AW530" s="90"/>
      <c r="AX530" s="90"/>
      <c r="AY530" s="90"/>
      <c r="AZ530" s="90"/>
      <c r="BA530" s="90"/>
      <c r="BB530" s="90"/>
      <c r="BC530">
        <v>1</v>
      </c>
      <c r="BD530" s="89" t="str">
        <f>REPLACE(INDEX(GroupVertices[Group],MATCH(Edges[[#This Row],[Vertex 1]],GroupVertices[Vertex],0)),1,1,"")</f>
        <v>1</v>
      </c>
      <c r="BE530" s="89" t="str">
        <f>REPLACE(INDEX(GroupVertices[Group],MATCH(Edges[[#This Row],[Vertex 2]],GroupVertices[Vertex],0)),1,1,"")</f>
        <v>1</v>
      </c>
      <c r="BF530" s="49">
        <v>0</v>
      </c>
      <c r="BG530" s="50">
        <v>0</v>
      </c>
      <c r="BH530" s="49">
        <v>0</v>
      </c>
      <c r="BI530" s="50">
        <v>0</v>
      </c>
      <c r="BJ530" s="49">
        <v>0</v>
      </c>
      <c r="BK530" s="50">
        <v>0</v>
      </c>
      <c r="BL530" s="49">
        <v>30</v>
      </c>
      <c r="BM530" s="50">
        <v>100</v>
      </c>
      <c r="BN530" s="49">
        <v>30</v>
      </c>
    </row>
    <row r="531" spans="1:66" ht="15">
      <c r="A531" s="65" t="s">
        <v>375</v>
      </c>
      <c r="B531" s="65" t="s">
        <v>374</v>
      </c>
      <c r="C531" s="66" t="s">
        <v>5817</v>
      </c>
      <c r="D531" s="67">
        <v>1</v>
      </c>
      <c r="E531" s="68" t="s">
        <v>132</v>
      </c>
      <c r="F531" s="69">
        <v>32</v>
      </c>
      <c r="G531" s="66" t="s">
        <v>51</v>
      </c>
      <c r="H531" s="70"/>
      <c r="I531" s="71"/>
      <c r="J531" s="71"/>
      <c r="K531" s="35" t="s">
        <v>65</v>
      </c>
      <c r="L531" s="79">
        <v>531</v>
      </c>
      <c r="M531" s="79"/>
      <c r="N531" s="73"/>
      <c r="O531" s="90" t="s">
        <v>522</v>
      </c>
      <c r="P531" s="93">
        <v>44533.338229166664</v>
      </c>
      <c r="Q531" s="90" t="s">
        <v>656</v>
      </c>
      <c r="R531" s="96" t="str">
        <f>HYPERLINK("https://twitter.com/millatiuni/status/1466446380843606025")</f>
        <v>https://twitter.com/millatiuni/status/1466446380843606025</v>
      </c>
      <c r="S531" s="90" t="s">
        <v>693</v>
      </c>
      <c r="T531" s="90"/>
      <c r="U531" s="90"/>
      <c r="V531" s="96" t="str">
        <f>HYPERLINK("https://pbs.twimg.com/profile_images/1292208545149136905/qWlUdwFE_normal.jpg")</f>
        <v>https://pbs.twimg.com/profile_images/1292208545149136905/qWlUdwFE_normal.jpg</v>
      </c>
      <c r="W531" s="93">
        <v>44533.338229166664</v>
      </c>
      <c r="X531" s="100">
        <v>44533</v>
      </c>
      <c r="Y531" s="97" t="s">
        <v>963</v>
      </c>
      <c r="Z531" s="96" t="str">
        <f>HYPERLINK("https://twitter.com/turnukkaparta/status/1466680365968412676")</f>
        <v>https://twitter.com/turnukkaparta/status/1466680365968412676</v>
      </c>
      <c r="AA531" s="90"/>
      <c r="AB531" s="90"/>
      <c r="AC531" s="97" t="s">
        <v>1215</v>
      </c>
      <c r="AD531" s="90"/>
      <c r="AE531" s="90" t="b">
        <v>0</v>
      </c>
      <c r="AF531" s="90">
        <v>0</v>
      </c>
      <c r="AG531" s="97" t="s">
        <v>1338</v>
      </c>
      <c r="AH531" s="90" t="b">
        <v>1</v>
      </c>
      <c r="AI531" s="90" t="s">
        <v>1442</v>
      </c>
      <c r="AJ531" s="90"/>
      <c r="AK531" s="97" t="s">
        <v>1448</v>
      </c>
      <c r="AL531" s="90" t="b">
        <v>0</v>
      </c>
      <c r="AM531" s="90">
        <v>29</v>
      </c>
      <c r="AN531" s="97" t="s">
        <v>1218</v>
      </c>
      <c r="AO531" s="97" t="s">
        <v>1450</v>
      </c>
      <c r="AP531" s="90" t="b">
        <v>0</v>
      </c>
      <c r="AQ531" s="97" t="s">
        <v>1218</v>
      </c>
      <c r="AR531" s="90" t="s">
        <v>187</v>
      </c>
      <c r="AS531" s="90">
        <v>0</v>
      </c>
      <c r="AT531" s="90">
        <v>0</v>
      </c>
      <c r="AU531" s="90"/>
      <c r="AV531" s="90"/>
      <c r="AW531" s="90"/>
      <c r="AX531" s="90"/>
      <c r="AY531" s="90"/>
      <c r="AZ531" s="90"/>
      <c r="BA531" s="90"/>
      <c r="BB531" s="90"/>
      <c r="BC531">
        <v>1</v>
      </c>
      <c r="BD531" s="89" t="str">
        <f>REPLACE(INDEX(GroupVertices[Group],MATCH(Edges[[#This Row],[Vertex 1]],GroupVertices[Vertex],0)),1,1,"")</f>
        <v>6</v>
      </c>
      <c r="BE531" s="89" t="str">
        <f>REPLACE(INDEX(GroupVertices[Group],MATCH(Edges[[#This Row],[Vertex 2]],GroupVertices[Vertex],0)),1,1,"")</f>
        <v>1</v>
      </c>
      <c r="BF531" s="49">
        <v>0</v>
      </c>
      <c r="BG531" s="50">
        <v>0</v>
      </c>
      <c r="BH531" s="49">
        <v>0</v>
      </c>
      <c r="BI531" s="50">
        <v>0</v>
      </c>
      <c r="BJ531" s="49">
        <v>0</v>
      </c>
      <c r="BK531" s="50">
        <v>0</v>
      </c>
      <c r="BL531" s="49">
        <v>6</v>
      </c>
      <c r="BM531" s="50">
        <v>100</v>
      </c>
      <c r="BN531" s="49">
        <v>6</v>
      </c>
    </row>
    <row r="532" spans="1:66" ht="15">
      <c r="A532" s="65" t="s">
        <v>374</v>
      </c>
      <c r="B532" s="65" t="s">
        <v>374</v>
      </c>
      <c r="C532" s="66" t="s">
        <v>5818</v>
      </c>
      <c r="D532" s="67">
        <v>1</v>
      </c>
      <c r="E532" s="68" t="s">
        <v>132</v>
      </c>
      <c r="F532" s="69">
        <v>32</v>
      </c>
      <c r="G532" s="66" t="s">
        <v>51</v>
      </c>
      <c r="H532" s="70"/>
      <c r="I532" s="71"/>
      <c r="J532" s="71"/>
      <c r="K532" s="35" t="s">
        <v>65</v>
      </c>
      <c r="L532" s="79">
        <v>532</v>
      </c>
      <c r="M532" s="79"/>
      <c r="N532" s="73"/>
      <c r="O532" s="90" t="s">
        <v>187</v>
      </c>
      <c r="P532" s="93">
        <v>44483.408842592595</v>
      </c>
      <c r="Q532" s="90" t="s">
        <v>579</v>
      </c>
      <c r="R532" s="96" t="str">
        <f>HYPERLINK("https://yle.fi/uutiset/3-11916413")</f>
        <v>https://yle.fi/uutiset/3-11916413</v>
      </c>
      <c r="S532" s="90" t="s">
        <v>697</v>
      </c>
      <c r="T532" s="90"/>
      <c r="U532" s="90"/>
      <c r="V532" s="96" t="str">
        <f>HYPERLINK("https://pbs.twimg.com/profile_images/1348020814772371456/rYnwJnyO_normal.jpg")</f>
        <v>https://pbs.twimg.com/profile_images/1348020814772371456/rYnwJnyO_normal.jpg</v>
      </c>
      <c r="W532" s="93">
        <v>44483.408842592595</v>
      </c>
      <c r="X532" s="100">
        <v>44483</v>
      </c>
      <c r="Y532" s="97" t="s">
        <v>964</v>
      </c>
      <c r="Z532" s="96" t="str">
        <f>HYPERLINK("https://twitter.com/okuokka/status/1448586562934018050")</f>
        <v>https://twitter.com/okuokka/status/1448586562934018050</v>
      </c>
      <c r="AA532" s="90"/>
      <c r="AB532" s="90"/>
      <c r="AC532" s="97" t="s">
        <v>1216</v>
      </c>
      <c r="AD532" s="97" t="s">
        <v>1334</v>
      </c>
      <c r="AE532" s="90" t="b">
        <v>0</v>
      </c>
      <c r="AF532" s="90">
        <v>14</v>
      </c>
      <c r="AG532" s="97" t="s">
        <v>1438</v>
      </c>
      <c r="AH532" s="90" t="b">
        <v>0</v>
      </c>
      <c r="AI532" s="90" t="s">
        <v>1442</v>
      </c>
      <c r="AJ532" s="90"/>
      <c r="AK532" s="97" t="s">
        <v>1338</v>
      </c>
      <c r="AL532" s="90" t="b">
        <v>0</v>
      </c>
      <c r="AM532" s="90">
        <v>4</v>
      </c>
      <c r="AN532" s="97" t="s">
        <v>1338</v>
      </c>
      <c r="AO532" s="97" t="s">
        <v>1451</v>
      </c>
      <c r="AP532" s="90" t="b">
        <v>0</v>
      </c>
      <c r="AQ532" s="97" t="s">
        <v>1334</v>
      </c>
      <c r="AR532" s="90" t="s">
        <v>522</v>
      </c>
      <c r="AS532" s="90">
        <v>0</v>
      </c>
      <c r="AT532" s="90">
        <v>0</v>
      </c>
      <c r="AU532" s="90"/>
      <c r="AV532" s="90"/>
      <c r="AW532" s="90"/>
      <c r="AX532" s="90"/>
      <c r="AY532" s="90"/>
      <c r="AZ532" s="90"/>
      <c r="BA532" s="90"/>
      <c r="BB532" s="90"/>
      <c r="BC532">
        <v>3</v>
      </c>
      <c r="BD532" s="89" t="str">
        <f>REPLACE(INDEX(GroupVertices[Group],MATCH(Edges[[#This Row],[Vertex 1]],GroupVertices[Vertex],0)),1,1,"")</f>
        <v>1</v>
      </c>
      <c r="BE532" s="89" t="str">
        <f>REPLACE(INDEX(GroupVertices[Group],MATCH(Edges[[#This Row],[Vertex 2]],GroupVertices[Vertex],0)),1,1,"")</f>
        <v>1</v>
      </c>
      <c r="BF532" s="49">
        <v>0</v>
      </c>
      <c r="BG532" s="50">
        <v>0</v>
      </c>
      <c r="BH532" s="49">
        <v>0</v>
      </c>
      <c r="BI532" s="50">
        <v>0</v>
      </c>
      <c r="BJ532" s="49">
        <v>0</v>
      </c>
      <c r="BK532" s="50">
        <v>0</v>
      </c>
      <c r="BL532" s="49">
        <v>13</v>
      </c>
      <c r="BM532" s="50">
        <v>100</v>
      </c>
      <c r="BN532" s="49">
        <v>13</v>
      </c>
    </row>
    <row r="533" spans="1:66" ht="15">
      <c r="A533" s="65" t="s">
        <v>374</v>
      </c>
      <c r="B533" s="65" t="s">
        <v>374</v>
      </c>
      <c r="C533" s="66" t="s">
        <v>5818</v>
      </c>
      <c r="D533" s="67">
        <v>1</v>
      </c>
      <c r="E533" s="68" t="s">
        <v>132</v>
      </c>
      <c r="F533" s="69">
        <v>32</v>
      </c>
      <c r="G533" s="66" t="s">
        <v>51</v>
      </c>
      <c r="H533" s="70"/>
      <c r="I533" s="71"/>
      <c r="J533" s="71"/>
      <c r="K533" s="35" t="s">
        <v>65</v>
      </c>
      <c r="L533" s="79">
        <v>533</v>
      </c>
      <c r="M533" s="79"/>
      <c r="N533" s="73"/>
      <c r="O533" s="90" t="s">
        <v>187</v>
      </c>
      <c r="P533" s="93">
        <v>44526.47771990741</v>
      </c>
      <c r="Q533" s="90" t="s">
        <v>540</v>
      </c>
      <c r="R533" s="96" t="str">
        <f>HYPERLINK("https://www.iltalehti.fi/terveysuutiset/a/267d645a-c545-4161-aa04-bc742a580248")</f>
        <v>https://www.iltalehti.fi/terveysuutiset/a/267d645a-c545-4161-aa04-bc742a580248</v>
      </c>
      <c r="S533" s="90" t="s">
        <v>692</v>
      </c>
      <c r="T533" s="90"/>
      <c r="U533" s="90"/>
      <c r="V533" s="96" t="str">
        <f>HYPERLINK("https://pbs.twimg.com/profile_images/1348020814772371456/rYnwJnyO_normal.jpg")</f>
        <v>https://pbs.twimg.com/profile_images/1348020814772371456/rYnwJnyO_normal.jpg</v>
      </c>
      <c r="W533" s="93">
        <v>44526.47771990741</v>
      </c>
      <c r="X533" s="100">
        <v>44526</v>
      </c>
      <c r="Y533" s="97" t="s">
        <v>965</v>
      </c>
      <c r="Z533" s="96" t="str">
        <f>HYPERLINK("https://twitter.com/okuokka/status/1464194202330411008")</f>
        <v>https://twitter.com/okuokka/status/1464194202330411008</v>
      </c>
      <c r="AA533" s="90"/>
      <c r="AB533" s="90"/>
      <c r="AC533" s="97" t="s">
        <v>1217</v>
      </c>
      <c r="AD533" s="90"/>
      <c r="AE533" s="90" t="b">
        <v>0</v>
      </c>
      <c r="AF533" s="90">
        <v>66</v>
      </c>
      <c r="AG533" s="97" t="s">
        <v>1338</v>
      </c>
      <c r="AH533" s="90" t="b">
        <v>0</v>
      </c>
      <c r="AI533" s="90" t="s">
        <v>1442</v>
      </c>
      <c r="AJ533" s="90"/>
      <c r="AK533" s="97" t="s">
        <v>1338</v>
      </c>
      <c r="AL533" s="90" t="b">
        <v>0</v>
      </c>
      <c r="AM533" s="90">
        <v>3</v>
      </c>
      <c r="AN533" s="97" t="s">
        <v>1338</v>
      </c>
      <c r="AO533" s="97" t="s">
        <v>1451</v>
      </c>
      <c r="AP533" s="90" t="b">
        <v>0</v>
      </c>
      <c r="AQ533" s="97" t="s">
        <v>1217</v>
      </c>
      <c r="AR533" s="90" t="s">
        <v>187</v>
      </c>
      <c r="AS533" s="90">
        <v>0</v>
      </c>
      <c r="AT533" s="90">
        <v>0</v>
      </c>
      <c r="AU533" s="90"/>
      <c r="AV533" s="90"/>
      <c r="AW533" s="90"/>
      <c r="AX533" s="90"/>
      <c r="AY533" s="90"/>
      <c r="AZ533" s="90"/>
      <c r="BA533" s="90"/>
      <c r="BB533" s="90"/>
      <c r="BC533">
        <v>3</v>
      </c>
      <c r="BD533" s="89" t="str">
        <f>REPLACE(INDEX(GroupVertices[Group],MATCH(Edges[[#This Row],[Vertex 1]],GroupVertices[Vertex],0)),1,1,"")</f>
        <v>1</v>
      </c>
      <c r="BE533" s="89" t="str">
        <f>REPLACE(INDEX(GroupVertices[Group],MATCH(Edges[[#This Row],[Vertex 2]],GroupVertices[Vertex],0)),1,1,"")</f>
        <v>1</v>
      </c>
      <c r="BF533" s="49">
        <v>0</v>
      </c>
      <c r="BG533" s="50">
        <v>0</v>
      </c>
      <c r="BH533" s="49">
        <v>0</v>
      </c>
      <c r="BI533" s="50">
        <v>0</v>
      </c>
      <c r="BJ533" s="49">
        <v>0</v>
      </c>
      <c r="BK533" s="50">
        <v>0</v>
      </c>
      <c r="BL533" s="49">
        <v>28</v>
      </c>
      <c r="BM533" s="50">
        <v>100</v>
      </c>
      <c r="BN533" s="49">
        <v>28</v>
      </c>
    </row>
    <row r="534" spans="1:66" ht="15">
      <c r="A534" s="65" t="s">
        <v>374</v>
      </c>
      <c r="B534" s="65" t="s">
        <v>374</v>
      </c>
      <c r="C534" s="66" t="s">
        <v>5818</v>
      </c>
      <c r="D534" s="67">
        <v>1</v>
      </c>
      <c r="E534" s="68" t="s">
        <v>132</v>
      </c>
      <c r="F534" s="69">
        <v>32</v>
      </c>
      <c r="G534" s="66" t="s">
        <v>51</v>
      </c>
      <c r="H534" s="70"/>
      <c r="I534" s="71"/>
      <c r="J534" s="71"/>
      <c r="K534" s="35" t="s">
        <v>65</v>
      </c>
      <c r="L534" s="79">
        <v>534</v>
      </c>
      <c r="M534" s="79"/>
      <c r="N534" s="73"/>
      <c r="O534" s="90" t="s">
        <v>187</v>
      </c>
      <c r="P534" s="93">
        <v>44532.791493055556</v>
      </c>
      <c r="Q534" s="90" t="s">
        <v>656</v>
      </c>
      <c r="R534" s="96" t="str">
        <f>HYPERLINK("https://twitter.com/millatiuni/status/1466446380843606025")</f>
        <v>https://twitter.com/millatiuni/status/1466446380843606025</v>
      </c>
      <c r="S534" s="90" t="s">
        <v>693</v>
      </c>
      <c r="T534" s="90"/>
      <c r="U534" s="90"/>
      <c r="V534" s="96" t="str">
        <f>HYPERLINK("https://pbs.twimg.com/profile_images/1348020814772371456/rYnwJnyO_normal.jpg")</f>
        <v>https://pbs.twimg.com/profile_images/1348020814772371456/rYnwJnyO_normal.jpg</v>
      </c>
      <c r="W534" s="93">
        <v>44532.791493055556</v>
      </c>
      <c r="X534" s="100">
        <v>44532</v>
      </c>
      <c r="Y534" s="97" t="s">
        <v>966</v>
      </c>
      <c r="Z534" s="96" t="str">
        <f>HYPERLINK("https://twitter.com/okuokka/status/1466482235498975235")</f>
        <v>https://twitter.com/okuokka/status/1466482235498975235</v>
      </c>
      <c r="AA534" s="90"/>
      <c r="AB534" s="90"/>
      <c r="AC534" s="97" t="s">
        <v>1218</v>
      </c>
      <c r="AD534" s="90"/>
      <c r="AE534" s="90" t="b">
        <v>0</v>
      </c>
      <c r="AF534" s="90">
        <v>180</v>
      </c>
      <c r="AG534" s="97" t="s">
        <v>1338</v>
      </c>
      <c r="AH534" s="90" t="b">
        <v>1</v>
      </c>
      <c r="AI534" s="90" t="s">
        <v>1442</v>
      </c>
      <c r="AJ534" s="90"/>
      <c r="AK534" s="97" t="s">
        <v>1448</v>
      </c>
      <c r="AL534" s="90" t="b">
        <v>0</v>
      </c>
      <c r="AM534" s="90">
        <v>29</v>
      </c>
      <c r="AN534" s="97" t="s">
        <v>1338</v>
      </c>
      <c r="AO534" s="97" t="s">
        <v>1451</v>
      </c>
      <c r="AP534" s="90" t="b">
        <v>0</v>
      </c>
      <c r="AQ534" s="97" t="s">
        <v>1218</v>
      </c>
      <c r="AR534" s="90" t="s">
        <v>187</v>
      </c>
      <c r="AS534" s="90">
        <v>0</v>
      </c>
      <c r="AT534" s="90">
        <v>0</v>
      </c>
      <c r="AU534" s="90"/>
      <c r="AV534" s="90"/>
      <c r="AW534" s="90"/>
      <c r="AX534" s="90"/>
      <c r="AY534" s="90"/>
      <c r="AZ534" s="90"/>
      <c r="BA534" s="90"/>
      <c r="BB534" s="90"/>
      <c r="BC534">
        <v>3</v>
      </c>
      <c r="BD534" s="89" t="str">
        <f>REPLACE(INDEX(GroupVertices[Group],MATCH(Edges[[#This Row],[Vertex 1]],GroupVertices[Vertex],0)),1,1,"")</f>
        <v>1</v>
      </c>
      <c r="BE534" s="89" t="str">
        <f>REPLACE(INDEX(GroupVertices[Group],MATCH(Edges[[#This Row],[Vertex 2]],GroupVertices[Vertex],0)),1,1,"")</f>
        <v>1</v>
      </c>
      <c r="BF534" s="49">
        <v>0</v>
      </c>
      <c r="BG534" s="50">
        <v>0</v>
      </c>
      <c r="BH534" s="49">
        <v>0</v>
      </c>
      <c r="BI534" s="50">
        <v>0</v>
      </c>
      <c r="BJ534" s="49">
        <v>0</v>
      </c>
      <c r="BK534" s="50">
        <v>0</v>
      </c>
      <c r="BL534" s="49">
        <v>6</v>
      </c>
      <c r="BM534" s="50">
        <v>100</v>
      </c>
      <c r="BN534" s="49">
        <v>6</v>
      </c>
    </row>
    <row r="535" spans="1:66" ht="15">
      <c r="A535" s="65" t="s">
        <v>376</v>
      </c>
      <c r="B535" s="65" t="s">
        <v>517</v>
      </c>
      <c r="C535" s="66" t="s">
        <v>5817</v>
      </c>
      <c r="D535" s="67">
        <v>1</v>
      </c>
      <c r="E535" s="68" t="s">
        <v>132</v>
      </c>
      <c r="F535" s="69">
        <v>32</v>
      </c>
      <c r="G535" s="66" t="s">
        <v>51</v>
      </c>
      <c r="H535" s="70"/>
      <c r="I535" s="71"/>
      <c r="J535" s="71"/>
      <c r="K535" s="35" t="s">
        <v>65</v>
      </c>
      <c r="L535" s="79">
        <v>535</v>
      </c>
      <c r="M535" s="79"/>
      <c r="N535" s="73"/>
      <c r="O535" s="90" t="s">
        <v>523</v>
      </c>
      <c r="P535" s="93">
        <v>44529.98488425926</v>
      </c>
      <c r="Q535" s="90" t="s">
        <v>683</v>
      </c>
      <c r="R535" s="90"/>
      <c r="S535" s="90"/>
      <c r="T535" s="90"/>
      <c r="U535" s="90"/>
      <c r="V535" s="96" t="str">
        <f>HYPERLINK("https://pbs.twimg.com/profile_images/1191798760948609024/FU2km98k_normal.jpg")</f>
        <v>https://pbs.twimg.com/profile_images/1191798760948609024/FU2km98k_normal.jpg</v>
      </c>
      <c r="W535" s="93">
        <v>44529.98488425926</v>
      </c>
      <c r="X535" s="100">
        <v>44529</v>
      </c>
      <c r="Y535" s="97" t="s">
        <v>967</v>
      </c>
      <c r="Z535" s="96" t="str">
        <f>HYPERLINK("https://twitter.com/pesakauha/status/1465465153705676801")</f>
        <v>https://twitter.com/pesakauha/status/1465465153705676801</v>
      </c>
      <c r="AA535" s="90"/>
      <c r="AB535" s="90"/>
      <c r="AC535" s="97" t="s">
        <v>1219</v>
      </c>
      <c r="AD535" s="97" t="s">
        <v>1335</v>
      </c>
      <c r="AE535" s="90" t="b">
        <v>0</v>
      </c>
      <c r="AF535" s="90">
        <v>2</v>
      </c>
      <c r="AG535" s="97" t="s">
        <v>1439</v>
      </c>
      <c r="AH535" s="90" t="b">
        <v>0</v>
      </c>
      <c r="AI535" s="90" t="s">
        <v>1442</v>
      </c>
      <c r="AJ535" s="90"/>
      <c r="AK535" s="97" t="s">
        <v>1338</v>
      </c>
      <c r="AL535" s="90" t="b">
        <v>0</v>
      </c>
      <c r="AM535" s="90">
        <v>0</v>
      </c>
      <c r="AN535" s="97" t="s">
        <v>1338</v>
      </c>
      <c r="AO535" s="97" t="s">
        <v>1450</v>
      </c>
      <c r="AP535" s="90" t="b">
        <v>0</v>
      </c>
      <c r="AQ535" s="97" t="s">
        <v>1335</v>
      </c>
      <c r="AR535" s="90" t="s">
        <v>187</v>
      </c>
      <c r="AS535" s="90">
        <v>0</v>
      </c>
      <c r="AT535" s="90">
        <v>0</v>
      </c>
      <c r="AU535" s="90"/>
      <c r="AV535" s="90"/>
      <c r="AW535" s="90"/>
      <c r="AX535" s="90"/>
      <c r="AY535" s="90"/>
      <c r="AZ535" s="90"/>
      <c r="BA535" s="90"/>
      <c r="BB535" s="90"/>
      <c r="BC535">
        <v>1</v>
      </c>
      <c r="BD535" s="89" t="str">
        <f>REPLACE(INDEX(GroupVertices[Group],MATCH(Edges[[#This Row],[Vertex 1]],GroupVertices[Vertex],0)),1,1,"")</f>
        <v>6</v>
      </c>
      <c r="BE535" s="89" t="str">
        <f>REPLACE(INDEX(GroupVertices[Group],MATCH(Edges[[#This Row],[Vertex 2]],GroupVertices[Vertex],0)),1,1,"")</f>
        <v>6</v>
      </c>
      <c r="BF535" s="49">
        <v>0</v>
      </c>
      <c r="BG535" s="50">
        <v>0</v>
      </c>
      <c r="BH535" s="49">
        <v>0</v>
      </c>
      <c r="BI535" s="50">
        <v>0</v>
      </c>
      <c r="BJ535" s="49">
        <v>0</v>
      </c>
      <c r="BK535" s="50">
        <v>0</v>
      </c>
      <c r="BL535" s="49">
        <v>27</v>
      </c>
      <c r="BM535" s="50">
        <v>100</v>
      </c>
      <c r="BN535" s="49">
        <v>27</v>
      </c>
    </row>
    <row r="536" spans="1:66" ht="15">
      <c r="A536" s="65" t="s">
        <v>376</v>
      </c>
      <c r="B536" s="65" t="s">
        <v>384</v>
      </c>
      <c r="C536" s="66" t="s">
        <v>5817</v>
      </c>
      <c r="D536" s="67">
        <v>1</v>
      </c>
      <c r="E536" s="68" t="s">
        <v>132</v>
      </c>
      <c r="F536" s="69">
        <v>32</v>
      </c>
      <c r="G536" s="66" t="s">
        <v>51</v>
      </c>
      <c r="H536" s="70"/>
      <c r="I536" s="71"/>
      <c r="J536" s="71"/>
      <c r="K536" s="35" t="s">
        <v>65</v>
      </c>
      <c r="L536" s="79">
        <v>536</v>
      </c>
      <c r="M536" s="79"/>
      <c r="N536" s="73"/>
      <c r="O536" s="90" t="s">
        <v>524</v>
      </c>
      <c r="P536" s="93">
        <v>44534.04959490741</v>
      </c>
      <c r="Q536" s="90" t="s">
        <v>684</v>
      </c>
      <c r="R536" s="90"/>
      <c r="S536" s="90"/>
      <c r="T536" s="90"/>
      <c r="U536" s="90"/>
      <c r="V536" s="96" t="str">
        <f>HYPERLINK("https://pbs.twimg.com/profile_images/1191798760948609024/FU2km98k_normal.jpg")</f>
        <v>https://pbs.twimg.com/profile_images/1191798760948609024/FU2km98k_normal.jpg</v>
      </c>
      <c r="W536" s="93">
        <v>44534.04959490741</v>
      </c>
      <c r="X536" s="100">
        <v>44534</v>
      </c>
      <c r="Y536" s="97" t="s">
        <v>968</v>
      </c>
      <c r="Z536" s="96" t="str">
        <f>HYPERLINK("https://twitter.com/pesakauha/status/1466938157539241985")</f>
        <v>https://twitter.com/pesakauha/status/1466938157539241985</v>
      </c>
      <c r="AA536" s="90"/>
      <c r="AB536" s="90"/>
      <c r="AC536" s="97" t="s">
        <v>1220</v>
      </c>
      <c r="AD536" s="97" t="s">
        <v>1336</v>
      </c>
      <c r="AE536" s="90" t="b">
        <v>0</v>
      </c>
      <c r="AF536" s="90">
        <v>1</v>
      </c>
      <c r="AG536" s="97" t="s">
        <v>1440</v>
      </c>
      <c r="AH536" s="90" t="b">
        <v>0</v>
      </c>
      <c r="AI536" s="90" t="s">
        <v>1442</v>
      </c>
      <c r="AJ536" s="90"/>
      <c r="AK536" s="97" t="s">
        <v>1338</v>
      </c>
      <c r="AL536" s="90" t="b">
        <v>0</v>
      </c>
      <c r="AM536" s="90">
        <v>0</v>
      </c>
      <c r="AN536" s="97" t="s">
        <v>1338</v>
      </c>
      <c r="AO536" s="97" t="s">
        <v>1451</v>
      </c>
      <c r="AP536" s="90" t="b">
        <v>0</v>
      </c>
      <c r="AQ536" s="97" t="s">
        <v>1336</v>
      </c>
      <c r="AR536" s="90" t="s">
        <v>187</v>
      </c>
      <c r="AS536" s="90">
        <v>0</v>
      </c>
      <c r="AT536" s="90">
        <v>0</v>
      </c>
      <c r="AU536" s="90"/>
      <c r="AV536" s="90"/>
      <c r="AW536" s="90"/>
      <c r="AX536" s="90"/>
      <c r="AY536" s="90"/>
      <c r="AZ536" s="90"/>
      <c r="BA536" s="90"/>
      <c r="BB536" s="90"/>
      <c r="BC536">
        <v>1</v>
      </c>
      <c r="BD536" s="89" t="str">
        <f>REPLACE(INDEX(GroupVertices[Group],MATCH(Edges[[#This Row],[Vertex 1]],GroupVertices[Vertex],0)),1,1,"")</f>
        <v>6</v>
      </c>
      <c r="BE536" s="89" t="str">
        <f>REPLACE(INDEX(GroupVertices[Group],MATCH(Edges[[#This Row],[Vertex 2]],GroupVertices[Vertex],0)),1,1,"")</f>
        <v>6</v>
      </c>
      <c r="BF536" s="49"/>
      <c r="BG536" s="50"/>
      <c r="BH536" s="49"/>
      <c r="BI536" s="50"/>
      <c r="BJ536" s="49"/>
      <c r="BK536" s="50"/>
      <c r="BL536" s="49"/>
      <c r="BM536" s="50"/>
      <c r="BN536" s="49"/>
    </row>
    <row r="537" spans="1:66" ht="15">
      <c r="A537" s="65" t="s">
        <v>376</v>
      </c>
      <c r="B537" s="65" t="s">
        <v>518</v>
      </c>
      <c r="C537" s="66" t="s">
        <v>5817</v>
      </c>
      <c r="D537" s="67">
        <v>1</v>
      </c>
      <c r="E537" s="68" t="s">
        <v>132</v>
      </c>
      <c r="F537" s="69">
        <v>32</v>
      </c>
      <c r="G537" s="66" t="s">
        <v>51</v>
      </c>
      <c r="H537" s="70"/>
      <c r="I537" s="71"/>
      <c r="J537" s="71"/>
      <c r="K537" s="35" t="s">
        <v>65</v>
      </c>
      <c r="L537" s="79">
        <v>537</v>
      </c>
      <c r="M537" s="79"/>
      <c r="N537" s="73"/>
      <c r="O537" s="90" t="s">
        <v>524</v>
      </c>
      <c r="P537" s="93">
        <v>44534.04959490741</v>
      </c>
      <c r="Q537" s="90" t="s">
        <v>684</v>
      </c>
      <c r="R537" s="90"/>
      <c r="S537" s="90"/>
      <c r="T537" s="90"/>
      <c r="U537" s="90"/>
      <c r="V537" s="96" t="str">
        <f>HYPERLINK("https://pbs.twimg.com/profile_images/1191798760948609024/FU2km98k_normal.jpg")</f>
        <v>https://pbs.twimg.com/profile_images/1191798760948609024/FU2km98k_normal.jpg</v>
      </c>
      <c r="W537" s="93">
        <v>44534.04959490741</v>
      </c>
      <c r="X537" s="100">
        <v>44534</v>
      </c>
      <c r="Y537" s="97" t="s">
        <v>968</v>
      </c>
      <c r="Z537" s="96" t="str">
        <f>HYPERLINK("https://twitter.com/pesakauha/status/1466938157539241985")</f>
        <v>https://twitter.com/pesakauha/status/1466938157539241985</v>
      </c>
      <c r="AA537" s="90"/>
      <c r="AB537" s="90"/>
      <c r="AC537" s="97" t="s">
        <v>1220</v>
      </c>
      <c r="AD537" s="97" t="s">
        <v>1336</v>
      </c>
      <c r="AE537" s="90" t="b">
        <v>0</v>
      </c>
      <c r="AF537" s="90">
        <v>1</v>
      </c>
      <c r="AG537" s="97" t="s">
        <v>1440</v>
      </c>
      <c r="AH537" s="90" t="b">
        <v>0</v>
      </c>
      <c r="AI537" s="90" t="s">
        <v>1442</v>
      </c>
      <c r="AJ537" s="90"/>
      <c r="AK537" s="97" t="s">
        <v>1338</v>
      </c>
      <c r="AL537" s="90" t="b">
        <v>0</v>
      </c>
      <c r="AM537" s="90">
        <v>0</v>
      </c>
      <c r="AN537" s="97" t="s">
        <v>1338</v>
      </c>
      <c r="AO537" s="97" t="s">
        <v>1451</v>
      </c>
      <c r="AP537" s="90" t="b">
        <v>0</v>
      </c>
      <c r="AQ537" s="97" t="s">
        <v>1336</v>
      </c>
      <c r="AR537" s="90" t="s">
        <v>187</v>
      </c>
      <c r="AS537" s="90">
        <v>0</v>
      </c>
      <c r="AT537" s="90">
        <v>0</v>
      </c>
      <c r="AU537" s="90"/>
      <c r="AV537" s="90"/>
      <c r="AW537" s="90"/>
      <c r="AX537" s="90"/>
      <c r="AY537" s="90"/>
      <c r="AZ537" s="90"/>
      <c r="BA537" s="90"/>
      <c r="BB537" s="90"/>
      <c r="BC537">
        <v>1</v>
      </c>
      <c r="BD537" s="89" t="str">
        <f>REPLACE(INDEX(GroupVertices[Group],MATCH(Edges[[#This Row],[Vertex 1]],GroupVertices[Vertex],0)),1,1,"")</f>
        <v>6</v>
      </c>
      <c r="BE537" s="89" t="str">
        <f>REPLACE(INDEX(GroupVertices[Group],MATCH(Edges[[#This Row],[Vertex 2]],GroupVertices[Vertex],0)),1,1,"")</f>
        <v>6</v>
      </c>
      <c r="BF537" s="49"/>
      <c r="BG537" s="50"/>
      <c r="BH537" s="49"/>
      <c r="BI537" s="50"/>
      <c r="BJ537" s="49"/>
      <c r="BK537" s="50"/>
      <c r="BL537" s="49"/>
      <c r="BM537" s="50"/>
      <c r="BN537" s="49"/>
    </row>
    <row r="538" spans="1:66" ht="15">
      <c r="A538" s="65" t="s">
        <v>376</v>
      </c>
      <c r="B538" s="65" t="s">
        <v>519</v>
      </c>
      <c r="C538" s="66" t="s">
        <v>5817</v>
      </c>
      <c r="D538" s="67">
        <v>1</v>
      </c>
      <c r="E538" s="68" t="s">
        <v>132</v>
      </c>
      <c r="F538" s="69">
        <v>32</v>
      </c>
      <c r="G538" s="66" t="s">
        <v>51</v>
      </c>
      <c r="H538" s="70"/>
      <c r="I538" s="71"/>
      <c r="J538" s="71"/>
      <c r="K538" s="35" t="s">
        <v>65</v>
      </c>
      <c r="L538" s="79">
        <v>538</v>
      </c>
      <c r="M538" s="79"/>
      <c r="N538" s="73"/>
      <c r="O538" s="90" t="s">
        <v>524</v>
      </c>
      <c r="P538" s="93">
        <v>44534.04959490741</v>
      </c>
      <c r="Q538" s="90" t="s">
        <v>684</v>
      </c>
      <c r="R538" s="90"/>
      <c r="S538" s="90"/>
      <c r="T538" s="90"/>
      <c r="U538" s="90"/>
      <c r="V538" s="96" t="str">
        <f>HYPERLINK("https://pbs.twimg.com/profile_images/1191798760948609024/FU2km98k_normal.jpg")</f>
        <v>https://pbs.twimg.com/profile_images/1191798760948609024/FU2km98k_normal.jpg</v>
      </c>
      <c r="W538" s="93">
        <v>44534.04959490741</v>
      </c>
      <c r="X538" s="100">
        <v>44534</v>
      </c>
      <c r="Y538" s="97" t="s">
        <v>968</v>
      </c>
      <c r="Z538" s="96" t="str">
        <f>HYPERLINK("https://twitter.com/pesakauha/status/1466938157539241985")</f>
        <v>https://twitter.com/pesakauha/status/1466938157539241985</v>
      </c>
      <c r="AA538" s="90"/>
      <c r="AB538" s="90"/>
      <c r="AC538" s="97" t="s">
        <v>1220</v>
      </c>
      <c r="AD538" s="97" t="s">
        <v>1336</v>
      </c>
      <c r="AE538" s="90" t="b">
        <v>0</v>
      </c>
      <c r="AF538" s="90">
        <v>1</v>
      </c>
      <c r="AG538" s="97" t="s">
        <v>1440</v>
      </c>
      <c r="AH538" s="90" t="b">
        <v>0</v>
      </c>
      <c r="AI538" s="90" t="s">
        <v>1442</v>
      </c>
      <c r="AJ538" s="90"/>
      <c r="AK538" s="97" t="s">
        <v>1338</v>
      </c>
      <c r="AL538" s="90" t="b">
        <v>0</v>
      </c>
      <c r="AM538" s="90">
        <v>0</v>
      </c>
      <c r="AN538" s="97" t="s">
        <v>1338</v>
      </c>
      <c r="AO538" s="97" t="s">
        <v>1451</v>
      </c>
      <c r="AP538" s="90" t="b">
        <v>0</v>
      </c>
      <c r="AQ538" s="97" t="s">
        <v>1336</v>
      </c>
      <c r="AR538" s="90" t="s">
        <v>187</v>
      </c>
      <c r="AS538" s="90">
        <v>0</v>
      </c>
      <c r="AT538" s="90">
        <v>0</v>
      </c>
      <c r="AU538" s="90"/>
      <c r="AV538" s="90"/>
      <c r="AW538" s="90"/>
      <c r="AX538" s="90"/>
      <c r="AY538" s="90"/>
      <c r="AZ538" s="90"/>
      <c r="BA538" s="90"/>
      <c r="BB538" s="90"/>
      <c r="BC538">
        <v>1</v>
      </c>
      <c r="BD538" s="89" t="str">
        <f>REPLACE(INDEX(GroupVertices[Group],MATCH(Edges[[#This Row],[Vertex 1]],GroupVertices[Vertex],0)),1,1,"")</f>
        <v>6</v>
      </c>
      <c r="BE538" s="89" t="str">
        <f>REPLACE(INDEX(GroupVertices[Group],MATCH(Edges[[#This Row],[Vertex 2]],GroupVertices[Vertex],0)),1,1,"")</f>
        <v>6</v>
      </c>
      <c r="BF538" s="49"/>
      <c r="BG538" s="50"/>
      <c r="BH538" s="49"/>
      <c r="BI538" s="50"/>
      <c r="BJ538" s="49"/>
      <c r="BK538" s="50"/>
      <c r="BL538" s="49"/>
      <c r="BM538" s="50"/>
      <c r="BN538" s="49"/>
    </row>
    <row r="539" spans="1:66" ht="15">
      <c r="A539" s="65" t="s">
        <v>376</v>
      </c>
      <c r="B539" s="65" t="s">
        <v>375</v>
      </c>
      <c r="C539" s="66" t="s">
        <v>5817</v>
      </c>
      <c r="D539" s="67">
        <v>1</v>
      </c>
      <c r="E539" s="68" t="s">
        <v>132</v>
      </c>
      <c r="F539" s="69">
        <v>32</v>
      </c>
      <c r="G539" s="66" t="s">
        <v>51</v>
      </c>
      <c r="H539" s="70"/>
      <c r="I539" s="71"/>
      <c r="J539" s="71"/>
      <c r="K539" s="35" t="s">
        <v>65</v>
      </c>
      <c r="L539" s="79">
        <v>539</v>
      </c>
      <c r="M539" s="79"/>
      <c r="N539" s="73"/>
      <c r="O539" s="90" t="s">
        <v>524</v>
      </c>
      <c r="P539" s="93">
        <v>44534.04959490741</v>
      </c>
      <c r="Q539" s="90" t="s">
        <v>684</v>
      </c>
      <c r="R539" s="90"/>
      <c r="S539" s="90"/>
      <c r="T539" s="90"/>
      <c r="U539" s="90"/>
      <c r="V539" s="96" t="str">
        <f>HYPERLINK("https://pbs.twimg.com/profile_images/1191798760948609024/FU2km98k_normal.jpg")</f>
        <v>https://pbs.twimg.com/profile_images/1191798760948609024/FU2km98k_normal.jpg</v>
      </c>
      <c r="W539" s="93">
        <v>44534.04959490741</v>
      </c>
      <c r="X539" s="100">
        <v>44534</v>
      </c>
      <c r="Y539" s="97" t="s">
        <v>968</v>
      </c>
      <c r="Z539" s="96" t="str">
        <f>HYPERLINK("https://twitter.com/pesakauha/status/1466938157539241985")</f>
        <v>https://twitter.com/pesakauha/status/1466938157539241985</v>
      </c>
      <c r="AA539" s="90"/>
      <c r="AB539" s="90"/>
      <c r="AC539" s="97" t="s">
        <v>1220</v>
      </c>
      <c r="AD539" s="97" t="s">
        <v>1336</v>
      </c>
      <c r="AE539" s="90" t="b">
        <v>0</v>
      </c>
      <c r="AF539" s="90">
        <v>1</v>
      </c>
      <c r="AG539" s="97" t="s">
        <v>1440</v>
      </c>
      <c r="AH539" s="90" t="b">
        <v>0</v>
      </c>
      <c r="AI539" s="90" t="s">
        <v>1442</v>
      </c>
      <c r="AJ539" s="90"/>
      <c r="AK539" s="97" t="s">
        <v>1338</v>
      </c>
      <c r="AL539" s="90" t="b">
        <v>0</v>
      </c>
      <c r="AM539" s="90">
        <v>0</v>
      </c>
      <c r="AN539" s="97" t="s">
        <v>1338</v>
      </c>
      <c r="AO539" s="97" t="s">
        <v>1451</v>
      </c>
      <c r="AP539" s="90" t="b">
        <v>0</v>
      </c>
      <c r="AQ539" s="97" t="s">
        <v>1336</v>
      </c>
      <c r="AR539" s="90" t="s">
        <v>187</v>
      </c>
      <c r="AS539" s="90">
        <v>0</v>
      </c>
      <c r="AT539" s="90">
        <v>0</v>
      </c>
      <c r="AU539" s="90"/>
      <c r="AV539" s="90"/>
      <c r="AW539" s="90"/>
      <c r="AX539" s="90"/>
      <c r="AY539" s="90"/>
      <c r="AZ539" s="90"/>
      <c r="BA539" s="90"/>
      <c r="BB539" s="90"/>
      <c r="BC539">
        <v>1</v>
      </c>
      <c r="BD539" s="89" t="str">
        <f>REPLACE(INDEX(GroupVertices[Group],MATCH(Edges[[#This Row],[Vertex 1]],GroupVertices[Vertex],0)),1,1,"")</f>
        <v>6</v>
      </c>
      <c r="BE539" s="89" t="str">
        <f>REPLACE(INDEX(GroupVertices[Group],MATCH(Edges[[#This Row],[Vertex 2]],GroupVertices[Vertex],0)),1,1,"")</f>
        <v>6</v>
      </c>
      <c r="BF539" s="49"/>
      <c r="BG539" s="50"/>
      <c r="BH539" s="49"/>
      <c r="BI539" s="50"/>
      <c r="BJ539" s="49"/>
      <c r="BK539" s="50"/>
      <c r="BL539" s="49"/>
      <c r="BM539" s="50"/>
      <c r="BN539" s="49"/>
    </row>
    <row r="540" spans="1:66" ht="15">
      <c r="A540" s="65" t="s">
        <v>376</v>
      </c>
      <c r="B540" s="65" t="s">
        <v>520</v>
      </c>
      <c r="C540" s="66" t="s">
        <v>5817</v>
      </c>
      <c r="D540" s="67">
        <v>1</v>
      </c>
      <c r="E540" s="68" t="s">
        <v>132</v>
      </c>
      <c r="F540" s="69">
        <v>32</v>
      </c>
      <c r="G540" s="66" t="s">
        <v>51</v>
      </c>
      <c r="H540" s="70"/>
      <c r="I540" s="71"/>
      <c r="J540" s="71"/>
      <c r="K540" s="35" t="s">
        <v>65</v>
      </c>
      <c r="L540" s="79">
        <v>540</v>
      </c>
      <c r="M540" s="79"/>
      <c r="N540" s="73"/>
      <c r="O540" s="90" t="s">
        <v>523</v>
      </c>
      <c r="P540" s="93">
        <v>44534.04959490741</v>
      </c>
      <c r="Q540" s="90" t="s">
        <v>684</v>
      </c>
      <c r="R540" s="90"/>
      <c r="S540" s="90"/>
      <c r="T540" s="90"/>
      <c r="U540" s="90"/>
      <c r="V540" s="96" t="str">
        <f>HYPERLINK("https://pbs.twimg.com/profile_images/1191798760948609024/FU2km98k_normal.jpg")</f>
        <v>https://pbs.twimg.com/profile_images/1191798760948609024/FU2km98k_normal.jpg</v>
      </c>
      <c r="W540" s="93">
        <v>44534.04959490741</v>
      </c>
      <c r="X540" s="100">
        <v>44534</v>
      </c>
      <c r="Y540" s="97" t="s">
        <v>968</v>
      </c>
      <c r="Z540" s="96" t="str">
        <f>HYPERLINK("https://twitter.com/pesakauha/status/1466938157539241985")</f>
        <v>https://twitter.com/pesakauha/status/1466938157539241985</v>
      </c>
      <c r="AA540" s="90"/>
      <c r="AB540" s="90"/>
      <c r="AC540" s="97" t="s">
        <v>1220</v>
      </c>
      <c r="AD540" s="97" t="s">
        <v>1336</v>
      </c>
      <c r="AE540" s="90" t="b">
        <v>0</v>
      </c>
      <c r="AF540" s="90">
        <v>1</v>
      </c>
      <c r="AG540" s="97" t="s">
        <v>1440</v>
      </c>
      <c r="AH540" s="90" t="b">
        <v>0</v>
      </c>
      <c r="AI540" s="90" t="s">
        <v>1442</v>
      </c>
      <c r="AJ540" s="90"/>
      <c r="AK540" s="97" t="s">
        <v>1338</v>
      </c>
      <c r="AL540" s="90" t="b">
        <v>0</v>
      </c>
      <c r="AM540" s="90">
        <v>0</v>
      </c>
      <c r="AN540" s="97" t="s">
        <v>1338</v>
      </c>
      <c r="AO540" s="97" t="s">
        <v>1451</v>
      </c>
      <c r="AP540" s="90" t="b">
        <v>0</v>
      </c>
      <c r="AQ540" s="97" t="s">
        <v>1336</v>
      </c>
      <c r="AR540" s="90" t="s">
        <v>187</v>
      </c>
      <c r="AS540" s="90">
        <v>0</v>
      </c>
      <c r="AT540" s="90">
        <v>0</v>
      </c>
      <c r="AU540" s="90"/>
      <c r="AV540" s="90"/>
      <c r="AW540" s="90"/>
      <c r="AX540" s="90"/>
      <c r="AY540" s="90"/>
      <c r="AZ540" s="90"/>
      <c r="BA540" s="90"/>
      <c r="BB540" s="90"/>
      <c r="BC540">
        <v>1</v>
      </c>
      <c r="BD540" s="89" t="str">
        <f>REPLACE(INDEX(GroupVertices[Group],MATCH(Edges[[#This Row],[Vertex 1]],GroupVertices[Vertex],0)),1,1,"")</f>
        <v>6</v>
      </c>
      <c r="BE540" s="89" t="str">
        <f>REPLACE(INDEX(GroupVertices[Group],MATCH(Edges[[#This Row],[Vertex 2]],GroupVertices[Vertex],0)),1,1,"")</f>
        <v>6</v>
      </c>
      <c r="BF540" s="49">
        <v>0</v>
      </c>
      <c r="BG540" s="50">
        <v>0</v>
      </c>
      <c r="BH540" s="49">
        <v>0</v>
      </c>
      <c r="BI540" s="50">
        <v>0</v>
      </c>
      <c r="BJ540" s="49">
        <v>0</v>
      </c>
      <c r="BK540" s="50">
        <v>0</v>
      </c>
      <c r="BL540" s="49">
        <v>35</v>
      </c>
      <c r="BM540" s="50">
        <v>100</v>
      </c>
      <c r="BN540" s="49">
        <v>35</v>
      </c>
    </row>
    <row r="541" spans="1:66" ht="15">
      <c r="A541" s="80" t="s">
        <v>377</v>
      </c>
      <c r="B541" s="80" t="s">
        <v>521</v>
      </c>
      <c r="C541" s="81" t="s">
        <v>5817</v>
      </c>
      <c r="D541" s="82">
        <v>1</v>
      </c>
      <c r="E541" s="83" t="s">
        <v>132</v>
      </c>
      <c r="F541" s="84">
        <v>32</v>
      </c>
      <c r="G541" s="81" t="s">
        <v>51</v>
      </c>
      <c r="H541" s="85"/>
      <c r="I541" s="86"/>
      <c r="J541" s="86"/>
      <c r="K541" s="35" t="s">
        <v>65</v>
      </c>
      <c r="L541" s="87">
        <v>541</v>
      </c>
      <c r="M541" s="87"/>
      <c r="N541" s="88"/>
      <c r="O541" s="91" t="s">
        <v>523</v>
      </c>
      <c r="P541" s="94">
        <v>44534.33974537037</v>
      </c>
      <c r="Q541" s="91" t="s">
        <v>685</v>
      </c>
      <c r="R541" s="91"/>
      <c r="S541" s="91"/>
      <c r="T541" s="91"/>
      <c r="U541" s="91"/>
      <c r="V541" s="98" t="str">
        <f>HYPERLINK("https://pbs.twimg.com/profile_images/378800000788182916/90e3855c87dfcabcc1e5a0d2fc534620_normal.jpeg")</f>
        <v>https://pbs.twimg.com/profile_images/378800000788182916/90e3855c87dfcabcc1e5a0d2fc534620_normal.jpeg</v>
      </c>
      <c r="W541" s="94">
        <v>44534.33974537037</v>
      </c>
      <c r="X541" s="101">
        <v>44534</v>
      </c>
      <c r="Y541" s="103" t="s">
        <v>969</v>
      </c>
      <c r="Z541" s="98" t="str">
        <f>HYPERLINK("https://twitter.com/kankioy/status/1467043305313685505")</f>
        <v>https://twitter.com/kankioy/status/1467043305313685505</v>
      </c>
      <c r="AA541" s="91"/>
      <c r="AB541" s="91"/>
      <c r="AC541" s="103" t="s">
        <v>1221</v>
      </c>
      <c r="AD541" s="103" t="s">
        <v>1337</v>
      </c>
      <c r="AE541" s="91" t="b">
        <v>0</v>
      </c>
      <c r="AF541" s="91">
        <v>1</v>
      </c>
      <c r="AG541" s="103" t="s">
        <v>1441</v>
      </c>
      <c r="AH541" s="91" t="b">
        <v>0</v>
      </c>
      <c r="AI541" s="91" t="s">
        <v>1442</v>
      </c>
      <c r="AJ541" s="91"/>
      <c r="AK541" s="103" t="s">
        <v>1338</v>
      </c>
      <c r="AL541" s="91" t="b">
        <v>0</v>
      </c>
      <c r="AM541" s="91">
        <v>0</v>
      </c>
      <c r="AN541" s="103" t="s">
        <v>1338</v>
      </c>
      <c r="AO541" s="103" t="s">
        <v>1450</v>
      </c>
      <c r="AP541" s="91" t="b">
        <v>0</v>
      </c>
      <c r="AQ541" s="103" t="s">
        <v>1337</v>
      </c>
      <c r="AR541" s="91" t="s">
        <v>187</v>
      </c>
      <c r="AS541" s="91">
        <v>0</v>
      </c>
      <c r="AT541" s="91">
        <v>0</v>
      </c>
      <c r="AU541" s="91"/>
      <c r="AV541" s="91"/>
      <c r="AW541" s="91"/>
      <c r="AX541" s="91"/>
      <c r="AY541" s="91"/>
      <c r="AZ541" s="91"/>
      <c r="BA541" s="91"/>
      <c r="BB541" s="91"/>
      <c r="BC541">
        <v>1</v>
      </c>
      <c r="BD541" s="89" t="str">
        <f>REPLACE(INDEX(GroupVertices[Group],MATCH(Edges[[#This Row],[Vertex 1]],GroupVertices[Vertex],0)),1,1,"")</f>
        <v>21</v>
      </c>
      <c r="BE541" s="89" t="str">
        <f>REPLACE(INDEX(GroupVertices[Group],MATCH(Edges[[#This Row],[Vertex 2]],GroupVertices[Vertex],0)),1,1,"")</f>
        <v>21</v>
      </c>
      <c r="BF541" s="49">
        <v>0</v>
      </c>
      <c r="BG541" s="50">
        <v>0</v>
      </c>
      <c r="BH541" s="49">
        <v>0</v>
      </c>
      <c r="BI541" s="50">
        <v>0</v>
      </c>
      <c r="BJ541" s="49">
        <v>0</v>
      </c>
      <c r="BK541" s="50">
        <v>0</v>
      </c>
      <c r="BL541" s="49">
        <v>37</v>
      </c>
      <c r="BM541" s="50">
        <v>100</v>
      </c>
      <c r="BN541"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1"/>
    <dataValidation allowBlank="1" showErrorMessage="1" sqref="N2:N5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1"/>
    <dataValidation allowBlank="1" showInputMessage="1" promptTitle="Edge Color" prompt="To select an optional edge color, right-click and select Select Color on the right-click menu." sqref="C3:C541"/>
    <dataValidation allowBlank="1" showInputMessage="1" promptTitle="Edge Width" prompt="Enter an optional edge width between 1 and 10." errorTitle="Invalid Edge Width" error="The optional edge width must be a whole number between 1 and 10." sqref="D3:D541"/>
    <dataValidation allowBlank="1" showInputMessage="1" promptTitle="Edge Opacity" prompt="Enter an optional edge opacity between 0 (transparent) and 100 (opaque)." errorTitle="Invalid Edge Opacity" error="The optional edge opacity must be a whole number between 0 and 10." sqref="F3:F5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1">
      <formula1>ValidEdgeVisibilities</formula1>
    </dataValidation>
    <dataValidation allowBlank="1" showInputMessage="1" showErrorMessage="1" promptTitle="Vertex 1 Name" prompt="Enter the name of the edge's first vertex." sqref="A3:A541"/>
    <dataValidation allowBlank="1" showInputMessage="1" showErrorMessage="1" promptTitle="Vertex 2 Name" prompt="Enter the name of the edge's second vertex." sqref="B3:B541"/>
    <dataValidation allowBlank="1" showInputMessage="1" showErrorMessage="1" promptTitle="Edge Label" prompt="Enter an optional edge label." errorTitle="Invalid Edge Visibility" error="You have entered an unrecognized edge visibility.  Try selecting from the drop-down list instead." sqref="H3:H5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1"/>
  </dataValidations>
  <hyperlinks>
    <hyperlink ref="R360" r:id="rId1" display="https://secure.jbs.elsevierhealth.com/action/getSharedSiteSession?redirect=https%3A%2F%2Fwww.thelancet.com%2Fjournals%2Flanepe%2Farticle%2FPIIS2666-7762%2821%2900258-1%2Ffulltext%3Fs%3D08%26fbclid%3DIwAR26JHRPQC0fWgEDr3tbyVwMvJhtMzhPXFcFlACyBwRgIHHZK9EozoZu6vA&amp;rc=0"/>
    <hyperlink ref="R361" r:id="rId2" display="https://secure.jbs.elsevierhealth.com/action/getSharedSiteSession?redirect=https%3A%2F%2Fwww.thelancet.com%2Fjournals%2Flanepe%2Farticle%2FPIIS2666-7762%2821%2900258-1%2Ffulltext%3Fs%3D08%26fbclid%3DIwAR26JHRPQC0fWgEDr3tbyVwMvJhtMzhPXFcFlACyBwRgIHHZK9EozoZu6vA&amp;rc=0"/>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22ADD-F538-4122-893C-71231A6610EF}">
  <dimension ref="A1:C53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3134</v>
      </c>
      <c r="B1" s="13" t="s">
        <v>2651</v>
      </c>
      <c r="C1" s="13" t="s">
        <v>199</v>
      </c>
    </row>
    <row r="2" spans="1:3" ht="15">
      <c r="A2" s="89" t="s">
        <v>377</v>
      </c>
      <c r="B2" s="89" t="s">
        <v>3135</v>
      </c>
      <c r="C2" s="102" t="s">
        <v>1221</v>
      </c>
    </row>
    <row r="3" spans="1:3" ht="15">
      <c r="A3" s="90" t="s">
        <v>377</v>
      </c>
      <c r="B3" s="89" t="s">
        <v>3136</v>
      </c>
      <c r="C3" s="102" t="s">
        <v>1221</v>
      </c>
    </row>
    <row r="4" spans="1:3" ht="15">
      <c r="A4" s="90" t="s">
        <v>377</v>
      </c>
      <c r="B4" s="89" t="s">
        <v>3137</v>
      </c>
      <c r="C4" s="102" t="s">
        <v>1221</v>
      </c>
    </row>
    <row r="5" spans="1:3" ht="15">
      <c r="A5" s="90" t="s">
        <v>377</v>
      </c>
      <c r="B5" s="89" t="s">
        <v>2931</v>
      </c>
      <c r="C5" s="102" t="s">
        <v>1221</v>
      </c>
    </row>
    <row r="6" spans="1:3" ht="15">
      <c r="A6" s="90" t="s">
        <v>377</v>
      </c>
      <c r="B6" s="89" t="s">
        <v>3138</v>
      </c>
      <c r="C6" s="102" t="s">
        <v>1221</v>
      </c>
    </row>
    <row r="7" spans="1:3" ht="15">
      <c r="A7" s="90" t="s">
        <v>377</v>
      </c>
      <c r="B7" s="89" t="s">
        <v>3139</v>
      </c>
      <c r="C7" s="102" t="s">
        <v>1221</v>
      </c>
    </row>
    <row r="8" spans="1:3" ht="15">
      <c r="A8" s="90" t="s">
        <v>377</v>
      </c>
      <c r="B8" s="89" t="s">
        <v>3140</v>
      </c>
      <c r="C8" s="102" t="s">
        <v>1221</v>
      </c>
    </row>
    <row r="9" spans="1:3" ht="15">
      <c r="A9" s="90" t="s">
        <v>377</v>
      </c>
      <c r="B9" s="89" t="s">
        <v>3141</v>
      </c>
      <c r="C9" s="102" t="s">
        <v>1221</v>
      </c>
    </row>
    <row r="10" spans="1:3" ht="15">
      <c r="A10" s="90" t="s">
        <v>377</v>
      </c>
      <c r="B10" s="89" t="s">
        <v>3142</v>
      </c>
      <c r="C10" s="102" t="s">
        <v>1221</v>
      </c>
    </row>
    <row r="11" spans="1:3" ht="15">
      <c r="A11" s="90" t="s">
        <v>377</v>
      </c>
      <c r="B11" s="89" t="s">
        <v>3143</v>
      </c>
      <c r="C11" s="102" t="s">
        <v>1221</v>
      </c>
    </row>
    <row r="12" spans="1:3" ht="15">
      <c r="A12" s="90" t="s">
        <v>377</v>
      </c>
      <c r="B12" s="89" t="s">
        <v>3144</v>
      </c>
      <c r="C12" s="102" t="s">
        <v>1221</v>
      </c>
    </row>
    <row r="13" spans="1:3" ht="15">
      <c r="A13" s="90" t="s">
        <v>377</v>
      </c>
      <c r="B13" s="89" t="s">
        <v>3145</v>
      </c>
      <c r="C13" s="102" t="s">
        <v>1221</v>
      </c>
    </row>
    <row r="14" spans="1:3" ht="15">
      <c r="A14" s="90" t="s">
        <v>377</v>
      </c>
      <c r="B14" s="89" t="s">
        <v>3146</v>
      </c>
      <c r="C14" s="102" t="s">
        <v>1221</v>
      </c>
    </row>
    <row r="15" spans="1:3" ht="15">
      <c r="A15" s="90" t="s">
        <v>377</v>
      </c>
      <c r="B15" s="89" t="s">
        <v>2811</v>
      </c>
      <c r="C15" s="102" t="s">
        <v>1221</v>
      </c>
    </row>
    <row r="16" spans="1:3" ht="15">
      <c r="A16" s="90" t="s">
        <v>377</v>
      </c>
      <c r="B16" s="89" t="s">
        <v>3147</v>
      </c>
      <c r="C16" s="102" t="s">
        <v>1221</v>
      </c>
    </row>
    <row r="17" spans="1:3" ht="15">
      <c r="A17" s="90" t="s">
        <v>377</v>
      </c>
      <c r="B17" s="89" t="s">
        <v>3148</v>
      </c>
      <c r="C17" s="102" t="s">
        <v>1221</v>
      </c>
    </row>
    <row r="18" spans="1:3" ht="15">
      <c r="A18" s="90" t="s">
        <v>377</v>
      </c>
      <c r="B18" s="89" t="s">
        <v>3149</v>
      </c>
      <c r="C18" s="102" t="s">
        <v>1221</v>
      </c>
    </row>
    <row r="19" spans="1:3" ht="15">
      <c r="A19" s="90" t="s">
        <v>377</v>
      </c>
      <c r="B19" s="89" t="s">
        <v>3150</v>
      </c>
      <c r="C19" s="102" t="s">
        <v>1221</v>
      </c>
    </row>
    <row r="20" spans="1:3" ht="15">
      <c r="A20" s="90" t="s">
        <v>377</v>
      </c>
      <c r="B20" s="89" t="s">
        <v>3151</v>
      </c>
      <c r="C20" s="102" t="s">
        <v>1221</v>
      </c>
    </row>
    <row r="21" spans="1:3" ht="15">
      <c r="A21" s="90" t="s">
        <v>377</v>
      </c>
      <c r="B21" s="89" t="s">
        <v>3152</v>
      </c>
      <c r="C21" s="102" t="s">
        <v>1221</v>
      </c>
    </row>
    <row r="22" spans="1:3" ht="15">
      <c r="A22" s="90" t="s">
        <v>377</v>
      </c>
      <c r="B22" s="89" t="s">
        <v>3153</v>
      </c>
      <c r="C22" s="102" t="s">
        <v>1221</v>
      </c>
    </row>
    <row r="23" spans="1:3" ht="15">
      <c r="A23" s="90" t="s">
        <v>377</v>
      </c>
      <c r="B23" s="89" t="s">
        <v>3154</v>
      </c>
      <c r="C23" s="102" t="s">
        <v>1221</v>
      </c>
    </row>
    <row r="24" spans="1:3" ht="15">
      <c r="A24" s="90" t="s">
        <v>377</v>
      </c>
      <c r="B24" s="89" t="s">
        <v>3155</v>
      </c>
      <c r="C24" s="102" t="s">
        <v>1221</v>
      </c>
    </row>
    <row r="25" spans="1:3" ht="15">
      <c r="A25" s="90" t="s">
        <v>377</v>
      </c>
      <c r="B25" s="89" t="s">
        <v>3156</v>
      </c>
      <c r="C25" s="102" t="s">
        <v>1221</v>
      </c>
    </row>
    <row r="26" spans="1:3" ht="15">
      <c r="A26" s="90" t="s">
        <v>377</v>
      </c>
      <c r="B26" s="89" t="s">
        <v>3157</v>
      </c>
      <c r="C26" s="102" t="s">
        <v>1221</v>
      </c>
    </row>
    <row r="27" spans="1:3" ht="15">
      <c r="A27" s="90" t="s">
        <v>377</v>
      </c>
      <c r="B27" s="89" t="s">
        <v>3158</v>
      </c>
      <c r="C27" s="102" t="s">
        <v>1221</v>
      </c>
    </row>
    <row r="28" spans="1:3" ht="15">
      <c r="A28" s="90" t="s">
        <v>377</v>
      </c>
      <c r="B28" s="89" t="s">
        <v>3159</v>
      </c>
      <c r="C28" s="102" t="s">
        <v>1221</v>
      </c>
    </row>
    <row r="29" spans="1:3" ht="15">
      <c r="A29" s="90" t="s">
        <v>377</v>
      </c>
      <c r="B29" s="89" t="s">
        <v>2932</v>
      </c>
      <c r="C29" s="102" t="s">
        <v>1221</v>
      </c>
    </row>
    <row r="30" spans="1:3" ht="15">
      <c r="A30" s="90" t="s">
        <v>377</v>
      </c>
      <c r="B30" s="89" t="s">
        <v>2705</v>
      </c>
      <c r="C30" s="102" t="s">
        <v>1221</v>
      </c>
    </row>
    <row r="31" spans="1:3" ht="15">
      <c r="A31" s="90" t="s">
        <v>377</v>
      </c>
      <c r="B31" s="89" t="s">
        <v>3160</v>
      </c>
      <c r="C31" s="102" t="s">
        <v>1221</v>
      </c>
    </row>
    <row r="32" spans="1:3" ht="15">
      <c r="A32" s="90" t="s">
        <v>377</v>
      </c>
      <c r="B32" s="89" t="s">
        <v>3161</v>
      </c>
      <c r="C32" s="102" t="s">
        <v>1221</v>
      </c>
    </row>
    <row r="33" spans="1:3" ht="15">
      <c r="A33" s="90" t="s">
        <v>377</v>
      </c>
      <c r="B33" s="89" t="s">
        <v>712</v>
      </c>
      <c r="C33" s="102" t="s">
        <v>1221</v>
      </c>
    </row>
    <row r="34" spans="1:3" ht="15">
      <c r="A34" s="90" t="s">
        <v>376</v>
      </c>
      <c r="B34" s="89" t="s">
        <v>520</v>
      </c>
      <c r="C34" s="102" t="s">
        <v>1220</v>
      </c>
    </row>
    <row r="35" spans="1:3" ht="15">
      <c r="A35" s="90" t="s">
        <v>376</v>
      </c>
      <c r="B35" s="89" t="s">
        <v>375</v>
      </c>
      <c r="C35" s="102" t="s">
        <v>1220</v>
      </c>
    </row>
    <row r="36" spans="1:3" ht="15">
      <c r="A36" s="90" t="s">
        <v>376</v>
      </c>
      <c r="B36" s="89" t="s">
        <v>3162</v>
      </c>
      <c r="C36" s="102" t="s">
        <v>1220</v>
      </c>
    </row>
    <row r="37" spans="1:3" ht="15">
      <c r="A37" s="90" t="s">
        <v>376</v>
      </c>
      <c r="B37" s="89" t="s">
        <v>3163</v>
      </c>
      <c r="C37" s="102" t="s">
        <v>1220</v>
      </c>
    </row>
    <row r="38" spans="1:3" ht="15">
      <c r="A38" s="90" t="s">
        <v>376</v>
      </c>
      <c r="B38" s="89" t="s">
        <v>384</v>
      </c>
      <c r="C38" s="102" t="s">
        <v>1220</v>
      </c>
    </row>
    <row r="39" spans="1:3" ht="15">
      <c r="A39" s="90" t="s">
        <v>376</v>
      </c>
      <c r="B39" s="89" t="s">
        <v>3164</v>
      </c>
      <c r="C39" s="102" t="s">
        <v>1220</v>
      </c>
    </row>
    <row r="40" spans="1:3" ht="15">
      <c r="A40" s="90" t="s">
        <v>376</v>
      </c>
      <c r="B40" s="89" t="s">
        <v>3165</v>
      </c>
      <c r="C40" s="102" t="s">
        <v>1220</v>
      </c>
    </row>
    <row r="41" spans="1:3" ht="15">
      <c r="A41" s="90" t="s">
        <v>376</v>
      </c>
      <c r="B41" s="89" t="s">
        <v>3166</v>
      </c>
      <c r="C41" s="102" t="s">
        <v>1220</v>
      </c>
    </row>
    <row r="42" spans="1:3" ht="15">
      <c r="A42" s="90" t="s">
        <v>376</v>
      </c>
      <c r="B42" s="89" t="s">
        <v>3167</v>
      </c>
      <c r="C42" s="102" t="s">
        <v>1220</v>
      </c>
    </row>
    <row r="43" spans="1:3" ht="15">
      <c r="A43" s="90" t="s">
        <v>376</v>
      </c>
      <c r="B43" s="89" t="s">
        <v>3168</v>
      </c>
      <c r="C43" s="102" t="s">
        <v>1220</v>
      </c>
    </row>
    <row r="44" spans="1:3" ht="15">
      <c r="A44" s="90" t="s">
        <v>376</v>
      </c>
      <c r="B44" s="89" t="s">
        <v>3155</v>
      </c>
      <c r="C44" s="102" t="s">
        <v>1220</v>
      </c>
    </row>
    <row r="45" spans="1:3" ht="15">
      <c r="A45" s="90" t="s">
        <v>376</v>
      </c>
      <c r="B45" s="89" t="s">
        <v>3169</v>
      </c>
      <c r="C45" s="102" t="s">
        <v>1220</v>
      </c>
    </row>
    <row r="46" spans="1:3" ht="15">
      <c r="A46" s="90" t="s">
        <v>376</v>
      </c>
      <c r="B46" s="89" t="s">
        <v>2934</v>
      </c>
      <c r="C46" s="102" t="s">
        <v>1220</v>
      </c>
    </row>
    <row r="47" spans="1:3" ht="15">
      <c r="A47" s="90" t="s">
        <v>376</v>
      </c>
      <c r="B47" s="89" t="s">
        <v>3170</v>
      </c>
      <c r="C47" s="102" t="s">
        <v>1220</v>
      </c>
    </row>
    <row r="48" spans="1:3" ht="15">
      <c r="A48" s="90" t="s">
        <v>376</v>
      </c>
      <c r="B48" s="89" t="s">
        <v>3171</v>
      </c>
      <c r="C48" s="102" t="s">
        <v>1220</v>
      </c>
    </row>
    <row r="49" spans="1:3" ht="15">
      <c r="A49" s="90" t="s">
        <v>376</v>
      </c>
      <c r="B49" s="89" t="s">
        <v>3172</v>
      </c>
      <c r="C49" s="102" t="s">
        <v>1220</v>
      </c>
    </row>
    <row r="50" spans="1:3" ht="15">
      <c r="A50" s="90" t="s">
        <v>376</v>
      </c>
      <c r="B50" s="89" t="s">
        <v>3141</v>
      </c>
      <c r="C50" s="102" t="s">
        <v>1220</v>
      </c>
    </row>
    <row r="51" spans="1:3" ht="15">
      <c r="A51" s="90" t="s">
        <v>376</v>
      </c>
      <c r="B51" s="89" t="s">
        <v>2812</v>
      </c>
      <c r="C51" s="102" t="s">
        <v>1220</v>
      </c>
    </row>
    <row r="52" spans="1:3" ht="15">
      <c r="A52" s="90" t="s">
        <v>376</v>
      </c>
      <c r="B52" s="89" t="s">
        <v>3173</v>
      </c>
      <c r="C52" s="102" t="s">
        <v>1220</v>
      </c>
    </row>
    <row r="53" spans="1:3" ht="15">
      <c r="A53" s="90" t="s">
        <v>376</v>
      </c>
      <c r="B53" s="89" t="s">
        <v>2935</v>
      </c>
      <c r="C53" s="102" t="s">
        <v>1220</v>
      </c>
    </row>
    <row r="54" spans="1:3" ht="15">
      <c r="A54" s="90" t="s">
        <v>376</v>
      </c>
      <c r="B54" s="89" t="s">
        <v>3174</v>
      </c>
      <c r="C54" s="102" t="s">
        <v>1220</v>
      </c>
    </row>
    <row r="55" spans="1:3" ht="15">
      <c r="A55" s="90" t="s">
        <v>376</v>
      </c>
      <c r="B55" s="89" t="s">
        <v>3175</v>
      </c>
      <c r="C55" s="102" t="s">
        <v>1220</v>
      </c>
    </row>
    <row r="56" spans="1:3" ht="15">
      <c r="A56" s="90" t="s">
        <v>376</v>
      </c>
      <c r="B56" s="89" t="s">
        <v>3176</v>
      </c>
      <c r="C56" s="102" t="s">
        <v>1220</v>
      </c>
    </row>
    <row r="57" spans="1:3" ht="15">
      <c r="A57" s="90" t="s">
        <v>376</v>
      </c>
      <c r="B57" s="89" t="s">
        <v>3177</v>
      </c>
      <c r="C57" s="102" t="s">
        <v>1220</v>
      </c>
    </row>
    <row r="58" spans="1:3" ht="15">
      <c r="A58" s="90" t="s">
        <v>376</v>
      </c>
      <c r="B58" s="89" t="s">
        <v>3178</v>
      </c>
      <c r="C58" s="102" t="s">
        <v>1220</v>
      </c>
    </row>
    <row r="59" spans="1:3" ht="15">
      <c r="A59" s="90" t="s">
        <v>376</v>
      </c>
      <c r="B59" s="89" t="s">
        <v>3179</v>
      </c>
      <c r="C59" s="102" t="s">
        <v>1220</v>
      </c>
    </row>
    <row r="60" spans="1:3" ht="15">
      <c r="A60" s="90" t="s">
        <v>376</v>
      </c>
      <c r="B60" s="89" t="s">
        <v>3180</v>
      </c>
      <c r="C60" s="102" t="s">
        <v>1220</v>
      </c>
    </row>
    <row r="61" spans="1:3" ht="15">
      <c r="A61" s="90" t="s">
        <v>376</v>
      </c>
      <c r="B61" s="89" t="s">
        <v>712</v>
      </c>
      <c r="C61" s="102" t="s">
        <v>1220</v>
      </c>
    </row>
    <row r="62" spans="1:3" ht="15">
      <c r="A62" s="90" t="s">
        <v>376</v>
      </c>
      <c r="B62" s="89" t="s">
        <v>3137</v>
      </c>
      <c r="C62" s="102" t="s">
        <v>1220</v>
      </c>
    </row>
    <row r="63" spans="1:3" ht="15">
      <c r="A63" s="90" t="s">
        <v>376</v>
      </c>
      <c r="B63" s="89" t="s">
        <v>3181</v>
      </c>
      <c r="C63" s="102" t="s">
        <v>1220</v>
      </c>
    </row>
    <row r="64" spans="1:3" ht="15">
      <c r="A64" s="90" t="s">
        <v>376</v>
      </c>
      <c r="B64" s="89" t="s">
        <v>3182</v>
      </c>
      <c r="C64" s="102" t="s">
        <v>1220</v>
      </c>
    </row>
    <row r="65" spans="1:3" ht="15">
      <c r="A65" s="90" t="s">
        <v>376</v>
      </c>
      <c r="B65" s="89" t="s">
        <v>3183</v>
      </c>
      <c r="C65" s="102" t="s">
        <v>1220</v>
      </c>
    </row>
    <row r="66" spans="1:3" ht="15">
      <c r="A66" s="90" t="s">
        <v>376</v>
      </c>
      <c r="B66" s="89" t="s">
        <v>3184</v>
      </c>
      <c r="C66" s="102" t="s">
        <v>1220</v>
      </c>
    </row>
    <row r="67" spans="1:3" ht="15">
      <c r="A67" s="90" t="s">
        <v>376</v>
      </c>
      <c r="B67" s="89" t="s">
        <v>3185</v>
      </c>
      <c r="C67" s="102" t="s">
        <v>1220</v>
      </c>
    </row>
    <row r="68" spans="1:3" ht="15">
      <c r="A68" s="90" t="s">
        <v>376</v>
      </c>
      <c r="B68" s="89" t="s">
        <v>3186</v>
      </c>
      <c r="C68" s="102" t="s">
        <v>1219</v>
      </c>
    </row>
    <row r="69" spans="1:3" ht="15">
      <c r="A69" s="90" t="s">
        <v>376</v>
      </c>
      <c r="B69" s="89" t="s">
        <v>3187</v>
      </c>
      <c r="C69" s="102" t="s">
        <v>1219</v>
      </c>
    </row>
    <row r="70" spans="1:3" ht="15">
      <c r="A70" s="90" t="s">
        <v>376</v>
      </c>
      <c r="B70" s="89" t="s">
        <v>3188</v>
      </c>
      <c r="C70" s="102" t="s">
        <v>1219</v>
      </c>
    </row>
    <row r="71" spans="1:3" ht="15">
      <c r="A71" s="90" t="s">
        <v>376</v>
      </c>
      <c r="B71" s="89" t="s">
        <v>2936</v>
      </c>
      <c r="C71" s="102" t="s">
        <v>1219</v>
      </c>
    </row>
    <row r="72" spans="1:3" ht="15">
      <c r="A72" s="90" t="s">
        <v>376</v>
      </c>
      <c r="B72" s="89" t="s">
        <v>3189</v>
      </c>
      <c r="C72" s="102" t="s">
        <v>1219</v>
      </c>
    </row>
    <row r="73" spans="1:3" ht="15">
      <c r="A73" s="90" t="s">
        <v>376</v>
      </c>
      <c r="B73" s="89" t="s">
        <v>2729</v>
      </c>
      <c r="C73" s="102" t="s">
        <v>1219</v>
      </c>
    </row>
    <row r="74" spans="1:3" ht="15">
      <c r="A74" s="90" t="s">
        <v>376</v>
      </c>
      <c r="B74" s="89" t="s">
        <v>712</v>
      </c>
      <c r="C74" s="102" t="s">
        <v>1219</v>
      </c>
    </row>
    <row r="75" spans="1:3" ht="15">
      <c r="A75" s="90" t="s">
        <v>376</v>
      </c>
      <c r="B75" s="89" t="s">
        <v>3190</v>
      </c>
      <c r="C75" s="102" t="s">
        <v>1219</v>
      </c>
    </row>
    <row r="76" spans="1:3" ht="15">
      <c r="A76" s="90" t="s">
        <v>376</v>
      </c>
      <c r="B76" s="89" t="s">
        <v>3191</v>
      </c>
      <c r="C76" s="102" t="s">
        <v>1219</v>
      </c>
    </row>
    <row r="77" spans="1:3" ht="15">
      <c r="A77" s="90" t="s">
        <v>376</v>
      </c>
      <c r="B77" s="89" t="s">
        <v>3192</v>
      </c>
      <c r="C77" s="102" t="s">
        <v>1219</v>
      </c>
    </row>
    <row r="78" spans="1:3" ht="15">
      <c r="A78" s="90" t="s">
        <v>376</v>
      </c>
      <c r="B78" s="89" t="s">
        <v>3193</v>
      </c>
      <c r="C78" s="102" t="s">
        <v>1219</v>
      </c>
    </row>
    <row r="79" spans="1:3" ht="15">
      <c r="A79" s="90" t="s">
        <v>376</v>
      </c>
      <c r="B79" s="89" t="s">
        <v>3194</v>
      </c>
      <c r="C79" s="102" t="s">
        <v>1219</v>
      </c>
    </row>
    <row r="80" spans="1:3" ht="15">
      <c r="A80" s="90" t="s">
        <v>376</v>
      </c>
      <c r="B80" s="89" t="s">
        <v>3195</v>
      </c>
      <c r="C80" s="102" t="s">
        <v>1219</v>
      </c>
    </row>
    <row r="81" spans="1:3" ht="15">
      <c r="A81" s="90" t="s">
        <v>376</v>
      </c>
      <c r="B81" s="89" t="s">
        <v>3196</v>
      </c>
      <c r="C81" s="102" t="s">
        <v>1219</v>
      </c>
    </row>
    <row r="82" spans="1:3" ht="15">
      <c r="A82" s="90" t="s">
        <v>376</v>
      </c>
      <c r="B82" s="89" t="s">
        <v>3197</v>
      </c>
      <c r="C82" s="102" t="s">
        <v>1219</v>
      </c>
    </row>
    <row r="83" spans="1:3" ht="15">
      <c r="A83" s="90" t="s">
        <v>376</v>
      </c>
      <c r="B83" s="89" t="s">
        <v>3198</v>
      </c>
      <c r="C83" s="102" t="s">
        <v>1219</v>
      </c>
    </row>
    <row r="84" spans="1:3" ht="15">
      <c r="A84" s="90" t="s">
        <v>376</v>
      </c>
      <c r="B84" s="89" t="s">
        <v>2812</v>
      </c>
      <c r="C84" s="102" t="s">
        <v>1219</v>
      </c>
    </row>
    <row r="85" spans="1:3" ht="15">
      <c r="A85" s="90" t="s">
        <v>376</v>
      </c>
      <c r="B85" s="89" t="s">
        <v>3141</v>
      </c>
      <c r="C85" s="102" t="s">
        <v>1219</v>
      </c>
    </row>
    <row r="86" spans="1:3" ht="15">
      <c r="A86" s="90" t="s">
        <v>376</v>
      </c>
      <c r="B86" s="89" t="s">
        <v>3199</v>
      </c>
      <c r="C86" s="102" t="s">
        <v>1219</v>
      </c>
    </row>
    <row r="87" spans="1:3" ht="15">
      <c r="A87" s="90" t="s">
        <v>376</v>
      </c>
      <c r="B87" s="89" t="s">
        <v>2937</v>
      </c>
      <c r="C87" s="102" t="s">
        <v>1219</v>
      </c>
    </row>
    <row r="88" spans="1:3" ht="15">
      <c r="A88" s="90" t="s">
        <v>376</v>
      </c>
      <c r="B88" s="89" t="s">
        <v>3200</v>
      </c>
      <c r="C88" s="102" t="s">
        <v>1219</v>
      </c>
    </row>
    <row r="89" spans="1:3" ht="15">
      <c r="A89" s="90" t="s">
        <v>376</v>
      </c>
      <c r="B89" s="89" t="s">
        <v>3201</v>
      </c>
      <c r="C89" s="102" t="s">
        <v>1219</v>
      </c>
    </row>
    <row r="90" spans="1:3" ht="15">
      <c r="A90" s="90" t="s">
        <v>376</v>
      </c>
      <c r="B90" s="89" t="s">
        <v>3202</v>
      </c>
      <c r="C90" s="102" t="s">
        <v>1219</v>
      </c>
    </row>
    <row r="91" spans="1:3" ht="15">
      <c r="A91" s="90" t="s">
        <v>376</v>
      </c>
      <c r="B91" s="89" t="s">
        <v>3137</v>
      </c>
      <c r="C91" s="102" t="s">
        <v>1219</v>
      </c>
    </row>
    <row r="92" spans="1:3" ht="15">
      <c r="A92" s="90" t="s">
        <v>376</v>
      </c>
      <c r="B92" s="89" t="s">
        <v>3203</v>
      </c>
      <c r="C92" s="102" t="s">
        <v>1219</v>
      </c>
    </row>
    <row r="93" spans="1:3" ht="15">
      <c r="A93" s="90" t="s">
        <v>376</v>
      </c>
      <c r="B93" s="89" t="s">
        <v>2763</v>
      </c>
      <c r="C93" s="102" t="s">
        <v>1219</v>
      </c>
    </row>
    <row r="94" spans="1:3" ht="15">
      <c r="A94" s="90" t="s">
        <v>375</v>
      </c>
      <c r="B94" s="89" t="s">
        <v>3204</v>
      </c>
      <c r="C94" s="102" t="s">
        <v>1215</v>
      </c>
    </row>
    <row r="95" spans="1:3" ht="15">
      <c r="A95" s="90" t="s">
        <v>375</v>
      </c>
      <c r="B95" s="89" t="s">
        <v>2661</v>
      </c>
      <c r="C95" s="102" t="s">
        <v>1215</v>
      </c>
    </row>
    <row r="96" spans="1:3" ht="15">
      <c r="A96" s="90" t="s">
        <v>375</v>
      </c>
      <c r="B96" s="89" t="s">
        <v>3205</v>
      </c>
      <c r="C96" s="102" t="s">
        <v>1215</v>
      </c>
    </row>
    <row r="97" spans="1:3" ht="15">
      <c r="A97" s="90" t="s">
        <v>375</v>
      </c>
      <c r="B97" s="89" t="s">
        <v>3206</v>
      </c>
      <c r="C97" s="102" t="s">
        <v>1215</v>
      </c>
    </row>
    <row r="98" spans="1:3" ht="15">
      <c r="A98" s="90" t="s">
        <v>375</v>
      </c>
      <c r="B98" s="89" t="s">
        <v>3207</v>
      </c>
      <c r="C98" s="102" t="s">
        <v>1215</v>
      </c>
    </row>
    <row r="99" spans="1:3" ht="15">
      <c r="A99" s="90" t="s">
        <v>375</v>
      </c>
      <c r="B99" s="89" t="s">
        <v>2683</v>
      </c>
      <c r="C99" s="102" t="s">
        <v>1215</v>
      </c>
    </row>
    <row r="100" spans="1:3" ht="15">
      <c r="A100" s="90" t="s">
        <v>374</v>
      </c>
      <c r="B100" s="89" t="s">
        <v>516</v>
      </c>
      <c r="C100" s="102" t="s">
        <v>1214</v>
      </c>
    </row>
    <row r="101" spans="1:3" ht="15">
      <c r="A101" s="90" t="s">
        <v>374</v>
      </c>
      <c r="B101" s="89" t="s">
        <v>515</v>
      </c>
      <c r="C101" s="102" t="s">
        <v>1214</v>
      </c>
    </row>
    <row r="102" spans="1:3" ht="15">
      <c r="A102" s="90" t="s">
        <v>374</v>
      </c>
      <c r="B102" s="89" t="s">
        <v>514</v>
      </c>
      <c r="C102" s="102" t="s">
        <v>1214</v>
      </c>
    </row>
    <row r="103" spans="1:3" ht="15">
      <c r="A103" s="90" t="s">
        <v>374</v>
      </c>
      <c r="B103" s="89" t="s">
        <v>3205</v>
      </c>
      <c r="C103" s="102" t="s">
        <v>1214</v>
      </c>
    </row>
    <row r="104" spans="1:3" ht="15">
      <c r="A104" s="90" t="s">
        <v>374</v>
      </c>
      <c r="B104" s="89" t="s">
        <v>3208</v>
      </c>
      <c r="C104" s="102" t="s">
        <v>1214</v>
      </c>
    </row>
    <row r="105" spans="1:3" ht="15">
      <c r="A105" s="90" t="s">
        <v>374</v>
      </c>
      <c r="B105" s="89" t="s">
        <v>3209</v>
      </c>
      <c r="C105" s="102" t="s">
        <v>1214</v>
      </c>
    </row>
    <row r="106" spans="1:3" ht="15">
      <c r="A106" s="90" t="s">
        <v>374</v>
      </c>
      <c r="B106" s="89" t="s">
        <v>712</v>
      </c>
      <c r="C106" s="102" t="s">
        <v>1214</v>
      </c>
    </row>
    <row r="107" spans="1:3" ht="15">
      <c r="A107" s="90" t="s">
        <v>374</v>
      </c>
      <c r="B107" s="89" t="s">
        <v>3141</v>
      </c>
      <c r="C107" s="102" t="s">
        <v>1214</v>
      </c>
    </row>
    <row r="108" spans="1:3" ht="15">
      <c r="A108" s="90" t="s">
        <v>374</v>
      </c>
      <c r="B108" s="89" t="s">
        <v>2730</v>
      </c>
      <c r="C108" s="102" t="s">
        <v>1214</v>
      </c>
    </row>
    <row r="109" spans="1:3" ht="15">
      <c r="A109" s="90" t="s">
        <v>374</v>
      </c>
      <c r="B109" s="89" t="s">
        <v>3210</v>
      </c>
      <c r="C109" s="102" t="s">
        <v>1214</v>
      </c>
    </row>
    <row r="110" spans="1:3" ht="15">
      <c r="A110" s="90" t="s">
        <v>374</v>
      </c>
      <c r="B110" s="89" t="s">
        <v>3211</v>
      </c>
      <c r="C110" s="102" t="s">
        <v>1214</v>
      </c>
    </row>
    <row r="111" spans="1:3" ht="15">
      <c r="A111" s="90" t="s">
        <v>374</v>
      </c>
      <c r="B111" s="89" t="s">
        <v>3212</v>
      </c>
      <c r="C111" s="102" t="s">
        <v>1214</v>
      </c>
    </row>
    <row r="112" spans="1:3" ht="15">
      <c r="A112" s="90" t="s">
        <v>374</v>
      </c>
      <c r="B112" s="89" t="s">
        <v>3213</v>
      </c>
      <c r="C112" s="102" t="s">
        <v>1214</v>
      </c>
    </row>
    <row r="113" spans="1:3" ht="15">
      <c r="A113" s="90" t="s">
        <v>374</v>
      </c>
      <c r="B113" s="89" t="s">
        <v>3214</v>
      </c>
      <c r="C113" s="102" t="s">
        <v>1214</v>
      </c>
    </row>
    <row r="114" spans="1:3" ht="15">
      <c r="A114" s="90" t="s">
        <v>374</v>
      </c>
      <c r="B114" s="89" t="s">
        <v>3215</v>
      </c>
      <c r="C114" s="102" t="s">
        <v>1214</v>
      </c>
    </row>
    <row r="115" spans="1:3" ht="15">
      <c r="A115" s="90" t="s">
        <v>374</v>
      </c>
      <c r="B115" s="89" t="s">
        <v>2938</v>
      </c>
      <c r="C115" s="102" t="s">
        <v>1214</v>
      </c>
    </row>
    <row r="116" spans="1:3" ht="15">
      <c r="A116" s="90" t="s">
        <v>374</v>
      </c>
      <c r="B116" s="89" t="s">
        <v>2939</v>
      </c>
      <c r="C116" s="102" t="s">
        <v>1214</v>
      </c>
    </row>
    <row r="117" spans="1:3" ht="15">
      <c r="A117" s="90" t="s">
        <v>374</v>
      </c>
      <c r="B117" s="89" t="s">
        <v>3216</v>
      </c>
      <c r="C117" s="102" t="s">
        <v>1214</v>
      </c>
    </row>
    <row r="118" spans="1:3" ht="15">
      <c r="A118" s="90" t="s">
        <v>374</v>
      </c>
      <c r="B118" s="89" t="s">
        <v>3217</v>
      </c>
      <c r="C118" s="102" t="s">
        <v>1214</v>
      </c>
    </row>
    <row r="119" spans="1:3" ht="15">
      <c r="A119" s="90" t="s">
        <v>374</v>
      </c>
      <c r="B119" s="89" t="s">
        <v>3218</v>
      </c>
      <c r="C119" s="102" t="s">
        <v>1214</v>
      </c>
    </row>
    <row r="120" spans="1:3" ht="15">
      <c r="A120" s="90" t="s">
        <v>374</v>
      </c>
      <c r="B120" s="89" t="s">
        <v>3219</v>
      </c>
      <c r="C120" s="102" t="s">
        <v>1214</v>
      </c>
    </row>
    <row r="121" spans="1:3" ht="15">
      <c r="A121" s="90" t="s">
        <v>374</v>
      </c>
      <c r="B121" s="89" t="s">
        <v>3220</v>
      </c>
      <c r="C121" s="102" t="s">
        <v>1214</v>
      </c>
    </row>
    <row r="122" spans="1:3" ht="15">
      <c r="A122" s="90" t="s">
        <v>374</v>
      </c>
      <c r="B122" s="89" t="s">
        <v>3221</v>
      </c>
      <c r="C122" s="102" t="s">
        <v>1214</v>
      </c>
    </row>
    <row r="123" spans="1:3" ht="15">
      <c r="A123" s="90" t="s">
        <v>374</v>
      </c>
      <c r="B123" s="89" t="s">
        <v>3192</v>
      </c>
      <c r="C123" s="102" t="s">
        <v>1214</v>
      </c>
    </row>
    <row r="124" spans="1:3" ht="15">
      <c r="A124" s="90" t="s">
        <v>374</v>
      </c>
      <c r="B124" s="89" t="s">
        <v>3222</v>
      </c>
      <c r="C124" s="102" t="s">
        <v>1214</v>
      </c>
    </row>
    <row r="125" spans="1:3" ht="15">
      <c r="A125" s="90" t="s">
        <v>374</v>
      </c>
      <c r="B125" s="89" t="s">
        <v>2765</v>
      </c>
      <c r="C125" s="102" t="s">
        <v>1214</v>
      </c>
    </row>
    <row r="126" spans="1:3" ht="15">
      <c r="A126" s="90" t="s">
        <v>374</v>
      </c>
      <c r="B126" s="89" t="s">
        <v>3223</v>
      </c>
      <c r="C126" s="102" t="s">
        <v>1214</v>
      </c>
    </row>
    <row r="127" spans="1:3" ht="15">
      <c r="A127" s="90" t="s">
        <v>374</v>
      </c>
      <c r="B127" s="89" t="s">
        <v>3224</v>
      </c>
      <c r="C127" s="102" t="s">
        <v>1214</v>
      </c>
    </row>
    <row r="128" spans="1:3" ht="15">
      <c r="A128" s="90" t="s">
        <v>374</v>
      </c>
      <c r="B128" s="89" t="s">
        <v>3225</v>
      </c>
      <c r="C128" s="102" t="s">
        <v>1214</v>
      </c>
    </row>
    <row r="129" spans="1:3" ht="15">
      <c r="A129" s="90" t="s">
        <v>374</v>
      </c>
      <c r="B129" s="89" t="s">
        <v>513</v>
      </c>
      <c r="C129" s="102" t="s">
        <v>1213</v>
      </c>
    </row>
    <row r="130" spans="1:3" ht="15">
      <c r="A130" s="90" t="s">
        <v>374</v>
      </c>
      <c r="B130" s="89" t="s">
        <v>3226</v>
      </c>
      <c r="C130" s="102" t="s">
        <v>1213</v>
      </c>
    </row>
    <row r="131" spans="1:3" ht="15">
      <c r="A131" s="90" t="s">
        <v>374</v>
      </c>
      <c r="B131" s="89" t="s">
        <v>3227</v>
      </c>
      <c r="C131" s="102" t="s">
        <v>1213</v>
      </c>
    </row>
    <row r="132" spans="1:3" ht="15">
      <c r="A132" s="90" t="s">
        <v>374</v>
      </c>
      <c r="B132" s="89" t="s">
        <v>3228</v>
      </c>
      <c r="C132" s="102" t="s">
        <v>1213</v>
      </c>
    </row>
    <row r="133" spans="1:3" ht="15">
      <c r="A133" s="90" t="s">
        <v>374</v>
      </c>
      <c r="B133" s="89" t="s">
        <v>2813</v>
      </c>
      <c r="C133" s="102" t="s">
        <v>1213</v>
      </c>
    </row>
    <row r="134" spans="1:3" ht="15">
      <c r="A134" s="90" t="s">
        <v>374</v>
      </c>
      <c r="B134" s="89" t="s">
        <v>3229</v>
      </c>
      <c r="C134" s="102" t="s">
        <v>1213</v>
      </c>
    </row>
    <row r="135" spans="1:3" ht="15">
      <c r="A135" s="90" t="s">
        <v>374</v>
      </c>
      <c r="B135" s="89" t="s">
        <v>3230</v>
      </c>
      <c r="C135" s="102" t="s">
        <v>1213</v>
      </c>
    </row>
    <row r="136" spans="1:3" ht="15">
      <c r="A136" s="90" t="s">
        <v>374</v>
      </c>
      <c r="B136" s="89" t="s">
        <v>3231</v>
      </c>
      <c r="C136" s="102" t="s">
        <v>1213</v>
      </c>
    </row>
    <row r="137" spans="1:3" ht="15">
      <c r="A137" s="90" t="s">
        <v>374</v>
      </c>
      <c r="B137" s="89" t="s">
        <v>3137</v>
      </c>
      <c r="C137" s="102" t="s">
        <v>1213</v>
      </c>
    </row>
    <row r="138" spans="1:3" ht="15">
      <c r="A138" s="90" t="s">
        <v>374</v>
      </c>
      <c r="B138" s="89" t="s">
        <v>3232</v>
      </c>
      <c r="C138" s="102" t="s">
        <v>1213</v>
      </c>
    </row>
    <row r="139" spans="1:3" ht="15">
      <c r="A139" s="90" t="s">
        <v>374</v>
      </c>
      <c r="B139" s="89" t="s">
        <v>2731</v>
      </c>
      <c r="C139" s="102" t="s">
        <v>1213</v>
      </c>
    </row>
    <row r="140" spans="1:3" ht="15">
      <c r="A140" s="90" t="s">
        <v>374</v>
      </c>
      <c r="B140" s="89" t="s">
        <v>3233</v>
      </c>
      <c r="C140" s="102" t="s">
        <v>1213</v>
      </c>
    </row>
    <row r="141" spans="1:3" ht="15">
      <c r="A141" s="90" t="s">
        <v>374</v>
      </c>
      <c r="B141" s="89" t="s">
        <v>3234</v>
      </c>
      <c r="C141" s="102" t="s">
        <v>1213</v>
      </c>
    </row>
    <row r="142" spans="1:3" ht="15">
      <c r="A142" s="90" t="s">
        <v>374</v>
      </c>
      <c r="B142" s="89" t="s">
        <v>3235</v>
      </c>
      <c r="C142" s="102" t="s">
        <v>1213</v>
      </c>
    </row>
    <row r="143" spans="1:3" ht="15">
      <c r="A143" s="90" t="s">
        <v>374</v>
      </c>
      <c r="B143" s="89" t="s">
        <v>3141</v>
      </c>
      <c r="C143" s="102" t="s">
        <v>1213</v>
      </c>
    </row>
    <row r="144" spans="1:3" ht="15">
      <c r="A144" s="90" t="s">
        <v>374</v>
      </c>
      <c r="B144" s="89" t="s">
        <v>3236</v>
      </c>
      <c r="C144" s="102" t="s">
        <v>1213</v>
      </c>
    </row>
    <row r="145" spans="1:3" ht="15">
      <c r="A145" s="90" t="s">
        <v>374</v>
      </c>
      <c r="B145" s="89" t="s">
        <v>2814</v>
      </c>
      <c r="C145" s="102" t="s">
        <v>1213</v>
      </c>
    </row>
    <row r="146" spans="1:3" ht="15">
      <c r="A146" s="90" t="s">
        <v>374</v>
      </c>
      <c r="B146" s="89" t="s">
        <v>3237</v>
      </c>
      <c r="C146" s="102" t="s">
        <v>1213</v>
      </c>
    </row>
    <row r="147" spans="1:3" ht="15">
      <c r="A147" s="90" t="s">
        <v>374</v>
      </c>
      <c r="B147" s="89" t="s">
        <v>3238</v>
      </c>
      <c r="C147" s="102" t="s">
        <v>1213</v>
      </c>
    </row>
    <row r="148" spans="1:3" ht="15">
      <c r="A148" s="90" t="s">
        <v>374</v>
      </c>
      <c r="B148" s="89" t="s">
        <v>2935</v>
      </c>
      <c r="C148" s="102" t="s">
        <v>1213</v>
      </c>
    </row>
    <row r="149" spans="1:3" ht="15">
      <c r="A149" s="90" t="s">
        <v>374</v>
      </c>
      <c r="B149" s="89" t="s">
        <v>3239</v>
      </c>
      <c r="C149" s="102" t="s">
        <v>1213</v>
      </c>
    </row>
    <row r="150" spans="1:3" ht="15">
      <c r="A150" s="90" t="s">
        <v>374</v>
      </c>
      <c r="B150" s="89" t="s">
        <v>3240</v>
      </c>
      <c r="C150" s="102" t="s">
        <v>1213</v>
      </c>
    </row>
    <row r="151" spans="1:3" ht="15">
      <c r="A151" s="90" t="s">
        <v>374</v>
      </c>
      <c r="B151" s="89">
        <v>2000</v>
      </c>
      <c r="C151" s="102" t="s">
        <v>1213</v>
      </c>
    </row>
    <row r="152" spans="1:3" ht="15">
      <c r="A152" s="90" t="s">
        <v>374</v>
      </c>
      <c r="B152" s="89" t="s">
        <v>3241</v>
      </c>
      <c r="C152" s="102" t="s">
        <v>1213</v>
      </c>
    </row>
    <row r="153" spans="1:3" ht="15">
      <c r="A153" s="90" t="s">
        <v>374</v>
      </c>
      <c r="B153" s="89" t="s">
        <v>3172</v>
      </c>
      <c r="C153" s="102" t="s">
        <v>1213</v>
      </c>
    </row>
    <row r="154" spans="1:3" ht="15">
      <c r="A154" s="90" t="s">
        <v>374</v>
      </c>
      <c r="B154" s="89" t="s">
        <v>3242</v>
      </c>
      <c r="C154" s="102" t="s">
        <v>1213</v>
      </c>
    </row>
    <row r="155" spans="1:3" ht="15">
      <c r="A155" s="90" t="s">
        <v>374</v>
      </c>
      <c r="B155" s="89" t="s">
        <v>2673</v>
      </c>
      <c r="C155" s="102" t="s">
        <v>1213</v>
      </c>
    </row>
    <row r="156" spans="1:3" ht="15">
      <c r="A156" s="90" t="s">
        <v>374</v>
      </c>
      <c r="B156" s="89" t="s">
        <v>3204</v>
      </c>
      <c r="C156" s="102" t="s">
        <v>1213</v>
      </c>
    </row>
    <row r="157" spans="1:3" ht="15">
      <c r="A157" s="90" t="s">
        <v>374</v>
      </c>
      <c r="B157" s="89" t="s">
        <v>3243</v>
      </c>
      <c r="C157" s="102" t="s">
        <v>1213</v>
      </c>
    </row>
    <row r="158" spans="1:3" ht="15">
      <c r="A158" s="90" t="s">
        <v>374</v>
      </c>
      <c r="B158" s="89" t="s">
        <v>2705</v>
      </c>
      <c r="C158" s="102" t="s">
        <v>1213</v>
      </c>
    </row>
    <row r="159" spans="1:3" ht="15">
      <c r="A159" s="90" t="s">
        <v>374</v>
      </c>
      <c r="B159" s="89" t="s">
        <v>2732</v>
      </c>
      <c r="C159" s="102" t="s">
        <v>1213</v>
      </c>
    </row>
    <row r="160" spans="1:3" ht="15">
      <c r="A160" s="90" t="s">
        <v>373</v>
      </c>
      <c r="B160" s="89" t="s">
        <v>3244</v>
      </c>
      <c r="C160" s="102" t="s">
        <v>1210</v>
      </c>
    </row>
    <row r="161" spans="1:3" ht="15">
      <c r="A161" s="90" t="s">
        <v>373</v>
      </c>
      <c r="B161" s="89" t="s">
        <v>3245</v>
      </c>
      <c r="C161" s="102" t="s">
        <v>1210</v>
      </c>
    </row>
    <row r="162" spans="1:3" ht="15">
      <c r="A162" s="90" t="s">
        <v>373</v>
      </c>
      <c r="B162" s="89" t="s">
        <v>510</v>
      </c>
      <c r="C162" s="102" t="s">
        <v>1210</v>
      </c>
    </row>
    <row r="163" spans="1:3" ht="15">
      <c r="A163" s="90" t="s">
        <v>373</v>
      </c>
      <c r="B163" s="89" t="s">
        <v>3246</v>
      </c>
      <c r="C163" s="102" t="s">
        <v>1210</v>
      </c>
    </row>
    <row r="164" spans="1:3" ht="15">
      <c r="A164" s="90" t="s">
        <v>373</v>
      </c>
      <c r="B164" s="89" t="s">
        <v>3247</v>
      </c>
      <c r="C164" s="102" t="s">
        <v>1210</v>
      </c>
    </row>
    <row r="165" spans="1:3" ht="15">
      <c r="A165" s="90" t="s">
        <v>373</v>
      </c>
      <c r="B165" s="89" t="s">
        <v>3248</v>
      </c>
      <c r="C165" s="102" t="s">
        <v>1210</v>
      </c>
    </row>
    <row r="166" spans="1:3" ht="15">
      <c r="A166" s="90" t="s">
        <v>373</v>
      </c>
      <c r="B166" s="89" t="s">
        <v>3249</v>
      </c>
      <c r="C166" s="102" t="s">
        <v>1210</v>
      </c>
    </row>
    <row r="167" spans="1:3" ht="15">
      <c r="A167" s="90" t="s">
        <v>373</v>
      </c>
      <c r="B167" s="89" t="s">
        <v>712</v>
      </c>
      <c r="C167" s="102" t="s">
        <v>1210</v>
      </c>
    </row>
    <row r="168" spans="1:3" ht="15">
      <c r="A168" s="90" t="s">
        <v>373</v>
      </c>
      <c r="B168" s="89" t="s">
        <v>3250</v>
      </c>
      <c r="C168" s="102" t="s">
        <v>1210</v>
      </c>
    </row>
    <row r="169" spans="1:3" ht="15">
      <c r="A169" s="90" t="s">
        <v>373</v>
      </c>
      <c r="B169" s="89" t="s">
        <v>3251</v>
      </c>
      <c r="C169" s="102" t="s">
        <v>1210</v>
      </c>
    </row>
    <row r="170" spans="1:3" ht="15">
      <c r="A170" s="90" t="s">
        <v>373</v>
      </c>
      <c r="B170" s="89" t="s">
        <v>3252</v>
      </c>
      <c r="C170" s="102" t="s">
        <v>1210</v>
      </c>
    </row>
    <row r="171" spans="1:3" ht="15">
      <c r="A171" s="90" t="s">
        <v>373</v>
      </c>
      <c r="B171" s="89" t="s">
        <v>2941</v>
      </c>
      <c r="C171" s="102" t="s">
        <v>1210</v>
      </c>
    </row>
    <row r="172" spans="1:3" ht="15">
      <c r="A172" s="90" t="s">
        <v>373</v>
      </c>
      <c r="B172" s="89" t="s">
        <v>3213</v>
      </c>
      <c r="C172" s="102" t="s">
        <v>1210</v>
      </c>
    </row>
    <row r="173" spans="1:3" ht="15">
      <c r="A173" s="90" t="s">
        <v>373</v>
      </c>
      <c r="B173" s="89" t="s">
        <v>3253</v>
      </c>
      <c r="C173" s="102" t="s">
        <v>1210</v>
      </c>
    </row>
    <row r="174" spans="1:3" ht="15">
      <c r="A174" s="90" t="s">
        <v>373</v>
      </c>
      <c r="B174" s="89" t="s">
        <v>3239</v>
      </c>
      <c r="C174" s="102" t="s">
        <v>1210</v>
      </c>
    </row>
    <row r="175" spans="1:3" ht="15">
      <c r="A175" s="90" t="s">
        <v>373</v>
      </c>
      <c r="B175" s="89" t="s">
        <v>3254</v>
      </c>
      <c r="C175" s="102" t="s">
        <v>1210</v>
      </c>
    </row>
    <row r="176" spans="1:3" ht="15">
      <c r="A176" s="90" t="s">
        <v>373</v>
      </c>
      <c r="B176" s="89" t="s">
        <v>2710</v>
      </c>
      <c r="C176" s="102" t="s">
        <v>1210</v>
      </c>
    </row>
    <row r="177" spans="1:3" ht="15">
      <c r="A177" s="90" t="s">
        <v>373</v>
      </c>
      <c r="B177" s="89" t="s">
        <v>3255</v>
      </c>
      <c r="C177" s="102" t="s">
        <v>1210</v>
      </c>
    </row>
    <row r="178" spans="1:3" ht="15">
      <c r="A178" s="90" t="s">
        <v>373</v>
      </c>
      <c r="B178" s="89" t="s">
        <v>3256</v>
      </c>
      <c r="C178" s="102" t="s">
        <v>1210</v>
      </c>
    </row>
    <row r="179" spans="1:3" ht="15">
      <c r="A179" s="90" t="s">
        <v>373</v>
      </c>
      <c r="B179" s="89" t="s">
        <v>2815</v>
      </c>
      <c r="C179" s="102" t="s">
        <v>1210</v>
      </c>
    </row>
    <row r="180" spans="1:3" ht="15">
      <c r="A180" s="90" t="s">
        <v>373</v>
      </c>
      <c r="B180" s="89" t="s">
        <v>3257</v>
      </c>
      <c r="C180" s="102" t="s">
        <v>1210</v>
      </c>
    </row>
    <row r="181" spans="1:3" ht="15">
      <c r="A181" s="90" t="s">
        <v>373</v>
      </c>
      <c r="B181" s="89" t="s">
        <v>3165</v>
      </c>
      <c r="C181" s="102" t="s">
        <v>1210</v>
      </c>
    </row>
    <row r="182" spans="1:3" ht="15">
      <c r="A182" s="90" t="s">
        <v>373</v>
      </c>
      <c r="B182" s="89" t="s">
        <v>3258</v>
      </c>
      <c r="C182" s="102" t="s">
        <v>1210</v>
      </c>
    </row>
    <row r="183" spans="1:3" ht="15">
      <c r="A183" s="90" t="s">
        <v>373</v>
      </c>
      <c r="B183" s="89" t="s">
        <v>3259</v>
      </c>
      <c r="C183" s="102" t="s">
        <v>1210</v>
      </c>
    </row>
    <row r="184" spans="1:3" ht="15">
      <c r="A184" s="90" t="s">
        <v>373</v>
      </c>
      <c r="B184" s="89" t="s">
        <v>3260</v>
      </c>
      <c r="C184" s="102" t="s">
        <v>1210</v>
      </c>
    </row>
    <row r="185" spans="1:3" ht="15">
      <c r="A185" s="90" t="s">
        <v>373</v>
      </c>
      <c r="B185" s="89" t="s">
        <v>3261</v>
      </c>
      <c r="C185" s="102" t="s">
        <v>1211</v>
      </c>
    </row>
    <row r="186" spans="1:3" ht="15">
      <c r="A186" s="90" t="s">
        <v>373</v>
      </c>
      <c r="B186" s="89" t="s">
        <v>3192</v>
      </c>
      <c r="C186" s="102" t="s">
        <v>1211</v>
      </c>
    </row>
    <row r="187" spans="1:3" ht="15">
      <c r="A187" s="90" t="s">
        <v>373</v>
      </c>
      <c r="B187" s="89" t="s">
        <v>3262</v>
      </c>
      <c r="C187" s="102" t="s">
        <v>1211</v>
      </c>
    </row>
    <row r="188" spans="1:3" ht="15">
      <c r="A188" s="90" t="s">
        <v>373</v>
      </c>
      <c r="B188" s="89" t="s">
        <v>3263</v>
      </c>
      <c r="C188" s="102" t="s">
        <v>1211</v>
      </c>
    </row>
    <row r="189" spans="1:3" ht="15">
      <c r="A189" s="90" t="s">
        <v>373</v>
      </c>
      <c r="B189" s="89" t="s">
        <v>3264</v>
      </c>
      <c r="C189" s="102" t="s">
        <v>1211</v>
      </c>
    </row>
    <row r="190" spans="1:3" ht="15">
      <c r="A190" s="90" t="s">
        <v>373</v>
      </c>
      <c r="B190" s="89" t="s">
        <v>3265</v>
      </c>
      <c r="C190" s="102" t="s">
        <v>1211</v>
      </c>
    </row>
    <row r="191" spans="1:3" ht="15">
      <c r="A191" s="90" t="s">
        <v>373</v>
      </c>
      <c r="B191" s="89" t="s">
        <v>3266</v>
      </c>
      <c r="C191" s="102" t="s">
        <v>1211</v>
      </c>
    </row>
    <row r="192" spans="1:3" ht="15">
      <c r="A192" s="90" t="s">
        <v>373</v>
      </c>
      <c r="B192" s="89" t="s">
        <v>3267</v>
      </c>
      <c r="C192" s="102" t="s">
        <v>1211</v>
      </c>
    </row>
    <row r="193" spans="1:3" ht="15">
      <c r="A193" s="90" t="s">
        <v>373</v>
      </c>
      <c r="B193" s="89">
        <v>1</v>
      </c>
      <c r="C193" s="102" t="s">
        <v>1211</v>
      </c>
    </row>
    <row r="194" spans="1:3" ht="15">
      <c r="A194" s="90" t="s">
        <v>373</v>
      </c>
      <c r="B194" s="89" t="s">
        <v>3204</v>
      </c>
      <c r="C194" s="102" t="s">
        <v>1211</v>
      </c>
    </row>
    <row r="195" spans="1:3" ht="15">
      <c r="A195" s="90" t="s">
        <v>373</v>
      </c>
      <c r="B195" s="89" t="s">
        <v>3268</v>
      </c>
      <c r="C195" s="102" t="s">
        <v>1211</v>
      </c>
    </row>
    <row r="196" spans="1:3" ht="15">
      <c r="A196" s="90" t="s">
        <v>371</v>
      </c>
      <c r="B196" s="89" t="s">
        <v>509</v>
      </c>
      <c r="C196" s="102" t="s">
        <v>1207</v>
      </c>
    </row>
    <row r="197" spans="1:3" ht="15">
      <c r="A197" s="90" t="s">
        <v>371</v>
      </c>
      <c r="B197" s="89" t="s">
        <v>3204</v>
      </c>
      <c r="C197" s="102" t="s">
        <v>1207</v>
      </c>
    </row>
    <row r="198" spans="1:3" ht="15">
      <c r="A198" s="90" t="s">
        <v>371</v>
      </c>
      <c r="B198" s="89" t="s">
        <v>2713</v>
      </c>
      <c r="C198" s="102" t="s">
        <v>1207</v>
      </c>
    </row>
    <row r="199" spans="1:3" ht="15">
      <c r="A199" s="90" t="s">
        <v>371</v>
      </c>
      <c r="B199" s="89" t="s">
        <v>2944</v>
      </c>
      <c r="C199" s="102" t="s">
        <v>1207</v>
      </c>
    </row>
    <row r="200" spans="1:3" ht="15">
      <c r="A200" s="90" t="s">
        <v>371</v>
      </c>
      <c r="B200" s="89" t="s">
        <v>3269</v>
      </c>
      <c r="C200" s="102" t="s">
        <v>1207</v>
      </c>
    </row>
    <row r="201" spans="1:3" ht="15">
      <c r="A201" s="90" t="s">
        <v>371</v>
      </c>
      <c r="B201" s="89" t="s">
        <v>3204</v>
      </c>
      <c r="C201" s="102" t="s">
        <v>1208</v>
      </c>
    </row>
    <row r="202" spans="1:3" ht="15">
      <c r="A202" s="90" t="s">
        <v>371</v>
      </c>
      <c r="B202" s="89" t="s">
        <v>2661</v>
      </c>
      <c r="C202" s="102" t="s">
        <v>1208</v>
      </c>
    </row>
    <row r="203" spans="1:3" ht="15">
      <c r="A203" s="90" t="s">
        <v>371</v>
      </c>
      <c r="B203" s="89" t="s">
        <v>3205</v>
      </c>
      <c r="C203" s="102" t="s">
        <v>1208</v>
      </c>
    </row>
    <row r="204" spans="1:3" ht="15">
      <c r="A204" s="90" t="s">
        <v>371</v>
      </c>
      <c r="B204" s="89" t="s">
        <v>3206</v>
      </c>
      <c r="C204" s="102" t="s">
        <v>1208</v>
      </c>
    </row>
    <row r="205" spans="1:3" ht="15">
      <c r="A205" s="90" t="s">
        <v>371</v>
      </c>
      <c r="B205" s="89" t="s">
        <v>3207</v>
      </c>
      <c r="C205" s="102" t="s">
        <v>1208</v>
      </c>
    </row>
    <row r="206" spans="1:3" ht="15">
      <c r="A206" s="90" t="s">
        <v>371</v>
      </c>
      <c r="B206" s="89" t="s">
        <v>2683</v>
      </c>
      <c r="C206" s="102" t="s">
        <v>1208</v>
      </c>
    </row>
    <row r="207" spans="1:3" ht="15">
      <c r="A207" s="90" t="s">
        <v>370</v>
      </c>
      <c r="B207" s="89" t="s">
        <v>3270</v>
      </c>
      <c r="C207" s="102" t="s">
        <v>1206</v>
      </c>
    </row>
    <row r="208" spans="1:3" ht="15">
      <c r="A208" s="90" t="s">
        <v>370</v>
      </c>
      <c r="B208" s="89" t="s">
        <v>507</v>
      </c>
      <c r="C208" s="102" t="s">
        <v>1206</v>
      </c>
    </row>
    <row r="209" spans="1:3" ht="15">
      <c r="A209" s="90" t="s">
        <v>370</v>
      </c>
      <c r="B209" s="89" t="s">
        <v>3271</v>
      </c>
      <c r="C209" s="102" t="s">
        <v>1206</v>
      </c>
    </row>
    <row r="210" spans="1:3" ht="15">
      <c r="A210" s="90" t="s">
        <v>370</v>
      </c>
      <c r="B210" s="89" t="s">
        <v>3272</v>
      </c>
      <c r="C210" s="102" t="s">
        <v>1206</v>
      </c>
    </row>
    <row r="211" spans="1:3" ht="15">
      <c r="A211" s="90" t="s">
        <v>370</v>
      </c>
      <c r="B211" s="89" t="s">
        <v>712</v>
      </c>
      <c r="C211" s="102" t="s">
        <v>1206</v>
      </c>
    </row>
    <row r="212" spans="1:3" ht="15">
      <c r="A212" s="90" t="s">
        <v>370</v>
      </c>
      <c r="B212" s="89" t="s">
        <v>3273</v>
      </c>
      <c r="C212" s="102" t="s">
        <v>1206</v>
      </c>
    </row>
    <row r="213" spans="1:3" ht="15">
      <c r="A213" s="90" t="s">
        <v>369</v>
      </c>
      <c r="B213" s="89" t="s">
        <v>349</v>
      </c>
      <c r="C213" s="102" t="s">
        <v>1204</v>
      </c>
    </row>
    <row r="214" spans="1:3" ht="15">
      <c r="A214" s="90" t="s">
        <v>369</v>
      </c>
      <c r="B214" s="89" t="s">
        <v>3274</v>
      </c>
      <c r="C214" s="102" t="s">
        <v>1204</v>
      </c>
    </row>
    <row r="215" spans="1:3" ht="15">
      <c r="A215" s="90" t="s">
        <v>369</v>
      </c>
      <c r="B215" s="89" t="s">
        <v>3275</v>
      </c>
      <c r="C215" s="102" t="s">
        <v>1204</v>
      </c>
    </row>
    <row r="216" spans="1:3" ht="15">
      <c r="A216" s="90" t="s">
        <v>369</v>
      </c>
      <c r="B216" s="89" t="s">
        <v>3204</v>
      </c>
      <c r="C216" s="102" t="s">
        <v>1204</v>
      </c>
    </row>
    <row r="217" spans="1:3" ht="15">
      <c r="A217" s="90" t="s">
        <v>369</v>
      </c>
      <c r="B217" s="89" t="s">
        <v>3276</v>
      </c>
      <c r="C217" s="102" t="s">
        <v>1204</v>
      </c>
    </row>
    <row r="218" spans="1:3" ht="15">
      <c r="A218" s="90" t="s">
        <v>369</v>
      </c>
      <c r="B218" s="89" t="s">
        <v>2681</v>
      </c>
      <c r="C218" s="102" t="s">
        <v>1204</v>
      </c>
    </row>
    <row r="219" spans="1:3" ht="15">
      <c r="A219" s="90" t="s">
        <v>369</v>
      </c>
      <c r="B219" s="89" t="s">
        <v>3277</v>
      </c>
      <c r="C219" s="102" t="s">
        <v>1204</v>
      </c>
    </row>
    <row r="220" spans="1:3" ht="15">
      <c r="A220" s="90" t="s">
        <v>367</v>
      </c>
      <c r="B220" s="89" t="s">
        <v>3278</v>
      </c>
      <c r="C220" s="102" t="s">
        <v>1193</v>
      </c>
    </row>
    <row r="221" spans="1:3" ht="15">
      <c r="A221" s="90" t="s">
        <v>367</v>
      </c>
      <c r="B221" s="89" t="s">
        <v>3279</v>
      </c>
      <c r="C221" s="102" t="s">
        <v>1193</v>
      </c>
    </row>
    <row r="222" spans="1:3" ht="15">
      <c r="A222" s="90" t="s">
        <v>367</v>
      </c>
      <c r="B222" s="89" t="s">
        <v>2816</v>
      </c>
      <c r="C222" s="102" t="s">
        <v>1193</v>
      </c>
    </row>
    <row r="223" spans="1:3" ht="15">
      <c r="A223" s="90" t="s">
        <v>367</v>
      </c>
      <c r="B223" s="89" t="s">
        <v>712</v>
      </c>
      <c r="C223" s="102" t="s">
        <v>1193</v>
      </c>
    </row>
    <row r="224" spans="1:3" ht="15">
      <c r="A224" s="90" t="s">
        <v>367</v>
      </c>
      <c r="B224" s="89" t="s">
        <v>3280</v>
      </c>
      <c r="C224" s="102" t="s">
        <v>1192</v>
      </c>
    </row>
    <row r="225" spans="1:3" ht="15">
      <c r="A225" s="90" t="s">
        <v>367</v>
      </c>
      <c r="B225" s="89" t="s">
        <v>3281</v>
      </c>
      <c r="C225" s="102" t="s">
        <v>1192</v>
      </c>
    </row>
    <row r="226" spans="1:3" ht="15">
      <c r="A226" s="90" t="s">
        <v>367</v>
      </c>
      <c r="B226" s="89" t="s">
        <v>712</v>
      </c>
      <c r="C226" s="102" t="s">
        <v>1192</v>
      </c>
    </row>
    <row r="227" spans="1:3" ht="15">
      <c r="A227" s="90" t="s">
        <v>365</v>
      </c>
      <c r="B227" s="89" t="s">
        <v>3204</v>
      </c>
      <c r="C227" s="102" t="s">
        <v>1187</v>
      </c>
    </row>
    <row r="228" spans="1:3" ht="15">
      <c r="A228" s="90" t="s">
        <v>365</v>
      </c>
      <c r="B228" s="89" t="s">
        <v>2661</v>
      </c>
      <c r="C228" s="102" t="s">
        <v>1187</v>
      </c>
    </row>
    <row r="229" spans="1:3" ht="15">
      <c r="A229" s="90" t="s">
        <v>365</v>
      </c>
      <c r="B229" s="89" t="s">
        <v>3205</v>
      </c>
      <c r="C229" s="102" t="s">
        <v>1187</v>
      </c>
    </row>
    <row r="230" spans="1:3" ht="15">
      <c r="A230" s="90" t="s">
        <v>365</v>
      </c>
      <c r="B230" s="89" t="s">
        <v>3206</v>
      </c>
      <c r="C230" s="102" t="s">
        <v>1187</v>
      </c>
    </row>
    <row r="231" spans="1:3" ht="15">
      <c r="A231" s="90" t="s">
        <v>365</v>
      </c>
      <c r="B231" s="89" t="s">
        <v>3207</v>
      </c>
      <c r="C231" s="102" t="s">
        <v>1187</v>
      </c>
    </row>
    <row r="232" spans="1:3" ht="15">
      <c r="A232" s="90" t="s">
        <v>365</v>
      </c>
      <c r="B232" s="89" t="s">
        <v>2683</v>
      </c>
      <c r="C232" s="102" t="s">
        <v>1187</v>
      </c>
    </row>
    <row r="233" spans="1:3" ht="15">
      <c r="A233" s="90" t="s">
        <v>365</v>
      </c>
      <c r="B233" s="89" t="s">
        <v>3282</v>
      </c>
      <c r="C233" s="102" t="s">
        <v>1186</v>
      </c>
    </row>
    <row r="234" spans="1:3" ht="15">
      <c r="A234" s="90" t="s">
        <v>365</v>
      </c>
      <c r="B234" s="89" t="s">
        <v>3204</v>
      </c>
      <c r="C234" s="102" t="s">
        <v>1186</v>
      </c>
    </row>
    <row r="235" spans="1:3" ht="15">
      <c r="A235" s="90" t="s">
        <v>365</v>
      </c>
      <c r="B235" s="89" t="s">
        <v>3141</v>
      </c>
      <c r="C235" s="102" t="s">
        <v>1186</v>
      </c>
    </row>
    <row r="236" spans="1:3" ht="15">
      <c r="A236" s="90" t="s">
        <v>365</v>
      </c>
      <c r="B236" s="89" t="s">
        <v>2817</v>
      </c>
      <c r="C236" s="102" t="s">
        <v>1186</v>
      </c>
    </row>
    <row r="237" spans="1:3" ht="15">
      <c r="A237" s="90" t="s">
        <v>365</v>
      </c>
      <c r="B237" s="89" t="s">
        <v>3283</v>
      </c>
      <c r="C237" s="102" t="s">
        <v>1186</v>
      </c>
    </row>
    <row r="238" spans="1:3" ht="15">
      <c r="A238" s="90" t="s">
        <v>365</v>
      </c>
      <c r="B238" s="89" t="s">
        <v>2681</v>
      </c>
      <c r="C238" s="102" t="s">
        <v>1186</v>
      </c>
    </row>
    <row r="239" spans="1:3" ht="15">
      <c r="A239" s="90" t="s">
        <v>365</v>
      </c>
      <c r="B239" s="89" t="s">
        <v>3284</v>
      </c>
      <c r="C239" s="102" t="s">
        <v>1186</v>
      </c>
    </row>
    <row r="240" spans="1:3" ht="15">
      <c r="A240" s="90" t="s">
        <v>365</v>
      </c>
      <c r="B240" s="89" t="s">
        <v>3285</v>
      </c>
      <c r="C240" s="102" t="s">
        <v>1186</v>
      </c>
    </row>
    <row r="241" spans="1:3" ht="15">
      <c r="A241" s="90" t="s">
        <v>365</v>
      </c>
      <c r="B241" s="89" t="s">
        <v>2746</v>
      </c>
      <c r="C241" s="102" t="s">
        <v>1186</v>
      </c>
    </row>
    <row r="242" spans="1:3" ht="15">
      <c r="A242" s="90" t="s">
        <v>365</v>
      </c>
      <c r="B242" s="89" t="s">
        <v>2766</v>
      </c>
      <c r="C242" s="102" t="s">
        <v>1186</v>
      </c>
    </row>
    <row r="243" spans="1:3" ht="15">
      <c r="A243" s="90" t="s">
        <v>365</v>
      </c>
      <c r="B243" s="89" t="s">
        <v>3137</v>
      </c>
      <c r="C243" s="102" t="s">
        <v>1186</v>
      </c>
    </row>
    <row r="244" spans="1:3" ht="15">
      <c r="A244" s="90" t="s">
        <v>365</v>
      </c>
      <c r="B244" s="89" t="s">
        <v>3286</v>
      </c>
      <c r="C244" s="102" t="s">
        <v>1186</v>
      </c>
    </row>
    <row r="245" spans="1:3" ht="15">
      <c r="A245" s="90" t="s">
        <v>365</v>
      </c>
      <c r="B245" s="89" t="s">
        <v>3287</v>
      </c>
      <c r="C245" s="102" t="s">
        <v>1186</v>
      </c>
    </row>
    <row r="246" spans="1:3" ht="15">
      <c r="A246" s="90" t="s">
        <v>365</v>
      </c>
      <c r="B246" s="89" t="s">
        <v>2767</v>
      </c>
      <c r="C246" s="102" t="s">
        <v>1186</v>
      </c>
    </row>
    <row r="247" spans="1:3" ht="15">
      <c r="A247" s="90" t="s">
        <v>365</v>
      </c>
      <c r="B247" s="89" t="s">
        <v>3288</v>
      </c>
      <c r="C247" s="102" t="s">
        <v>1186</v>
      </c>
    </row>
    <row r="248" spans="1:3" ht="15">
      <c r="A248" s="90" t="s">
        <v>365</v>
      </c>
      <c r="B248" s="89" t="s">
        <v>3289</v>
      </c>
      <c r="C248" s="102" t="s">
        <v>1186</v>
      </c>
    </row>
    <row r="249" spans="1:3" ht="15">
      <c r="A249" s="90" t="s">
        <v>365</v>
      </c>
      <c r="B249" s="89" t="s">
        <v>3155</v>
      </c>
      <c r="C249" s="102" t="s">
        <v>1186</v>
      </c>
    </row>
    <row r="250" spans="1:3" ht="15">
      <c r="A250" s="90" t="s">
        <v>365</v>
      </c>
      <c r="B250" s="89" t="s">
        <v>2733</v>
      </c>
      <c r="C250" s="102" t="s">
        <v>1186</v>
      </c>
    </row>
    <row r="251" spans="1:3" ht="15">
      <c r="A251" s="90" t="s">
        <v>365</v>
      </c>
      <c r="B251" s="89" t="s">
        <v>2946</v>
      </c>
      <c r="C251" s="102" t="s">
        <v>1186</v>
      </c>
    </row>
    <row r="252" spans="1:3" ht="15">
      <c r="A252" s="90" t="s">
        <v>364</v>
      </c>
      <c r="B252" s="89" t="s">
        <v>3290</v>
      </c>
      <c r="C252" s="102" t="s">
        <v>1185</v>
      </c>
    </row>
    <row r="253" spans="1:3" ht="15">
      <c r="A253" s="90" t="s">
        <v>364</v>
      </c>
      <c r="B253" s="89" t="s">
        <v>3274</v>
      </c>
      <c r="C253" s="102" t="s">
        <v>1185</v>
      </c>
    </row>
    <row r="254" spans="1:3" ht="15">
      <c r="A254" s="90" t="s">
        <v>364</v>
      </c>
      <c r="B254" s="89" t="s">
        <v>3291</v>
      </c>
      <c r="C254" s="102" t="s">
        <v>1185</v>
      </c>
    </row>
    <row r="255" spans="1:3" ht="15">
      <c r="A255" s="90" t="s">
        <v>364</v>
      </c>
      <c r="B255" s="89" t="s">
        <v>3292</v>
      </c>
      <c r="C255" s="102" t="s">
        <v>1185</v>
      </c>
    </row>
    <row r="256" spans="1:3" ht="15">
      <c r="A256" s="90" t="s">
        <v>364</v>
      </c>
      <c r="B256" s="89" t="s">
        <v>3293</v>
      </c>
      <c r="C256" s="102" t="s">
        <v>1185</v>
      </c>
    </row>
    <row r="257" spans="1:3" ht="15">
      <c r="A257" s="90" t="s">
        <v>364</v>
      </c>
      <c r="B257" s="89" t="s">
        <v>2815</v>
      </c>
      <c r="C257" s="102" t="s">
        <v>1185</v>
      </c>
    </row>
    <row r="258" spans="1:3" ht="15">
      <c r="A258" s="90" t="s">
        <v>364</v>
      </c>
      <c r="B258" s="89" t="s">
        <v>712</v>
      </c>
      <c r="C258" s="102" t="s">
        <v>1185</v>
      </c>
    </row>
    <row r="259" spans="1:3" ht="15">
      <c r="A259" s="90" t="s">
        <v>364</v>
      </c>
      <c r="B259" s="89" t="s">
        <v>3141</v>
      </c>
      <c r="C259" s="102" t="s">
        <v>1185</v>
      </c>
    </row>
    <row r="260" spans="1:3" ht="15">
      <c r="A260" s="90" t="s">
        <v>364</v>
      </c>
      <c r="B260" s="89" t="s">
        <v>3294</v>
      </c>
      <c r="C260" s="102" t="s">
        <v>1185</v>
      </c>
    </row>
    <row r="261" spans="1:3" ht="15">
      <c r="A261" s="90" t="s">
        <v>364</v>
      </c>
      <c r="B261" s="89" t="s">
        <v>3153</v>
      </c>
      <c r="C261" s="102" t="s">
        <v>1185</v>
      </c>
    </row>
    <row r="262" spans="1:3" ht="15">
      <c r="A262" s="90" t="s">
        <v>364</v>
      </c>
      <c r="B262" s="89" t="s">
        <v>2709</v>
      </c>
      <c r="C262" s="102" t="s">
        <v>1185</v>
      </c>
    </row>
    <row r="263" spans="1:3" ht="15">
      <c r="A263" s="90" t="s">
        <v>364</v>
      </c>
      <c r="B263" s="89" t="s">
        <v>3155</v>
      </c>
      <c r="C263" s="102" t="s">
        <v>1185</v>
      </c>
    </row>
    <row r="264" spans="1:3" ht="15">
      <c r="A264" s="90" t="s">
        <v>363</v>
      </c>
      <c r="B264" s="89" t="s">
        <v>3274</v>
      </c>
      <c r="C264" s="102" t="s">
        <v>1184</v>
      </c>
    </row>
    <row r="265" spans="1:3" ht="15">
      <c r="A265" s="90" t="s">
        <v>363</v>
      </c>
      <c r="B265" s="89" t="s">
        <v>3189</v>
      </c>
      <c r="C265" s="102" t="s">
        <v>1184</v>
      </c>
    </row>
    <row r="266" spans="1:3" ht="15">
      <c r="A266" s="90" t="s">
        <v>363</v>
      </c>
      <c r="B266" s="89" t="s">
        <v>3295</v>
      </c>
      <c r="C266" s="102" t="s">
        <v>1184</v>
      </c>
    </row>
    <row r="267" spans="1:3" ht="15">
      <c r="A267" s="90" t="s">
        <v>363</v>
      </c>
      <c r="B267" s="89" t="s">
        <v>3195</v>
      </c>
      <c r="C267" s="102" t="s">
        <v>1184</v>
      </c>
    </row>
    <row r="268" spans="1:3" ht="15">
      <c r="A268" s="90" t="s">
        <v>363</v>
      </c>
      <c r="B268" s="89" t="s">
        <v>3296</v>
      </c>
      <c r="C268" s="102" t="s">
        <v>1184</v>
      </c>
    </row>
    <row r="269" spans="1:3" ht="15">
      <c r="A269" s="90" t="s">
        <v>363</v>
      </c>
      <c r="B269" s="89" t="s">
        <v>2818</v>
      </c>
      <c r="C269" s="102" t="s">
        <v>1184</v>
      </c>
    </row>
    <row r="270" spans="1:3" ht="15">
      <c r="A270" s="90" t="s">
        <v>363</v>
      </c>
      <c r="B270" s="89" t="s">
        <v>2819</v>
      </c>
      <c r="C270" s="102" t="s">
        <v>1184</v>
      </c>
    </row>
    <row r="271" spans="1:3" ht="15">
      <c r="A271" s="90" t="s">
        <v>363</v>
      </c>
      <c r="B271" s="89" t="s">
        <v>3259</v>
      </c>
      <c r="C271" s="102" t="s">
        <v>1184</v>
      </c>
    </row>
    <row r="272" spans="1:3" ht="15">
      <c r="A272" s="90" t="s">
        <v>363</v>
      </c>
      <c r="B272" s="89" t="s">
        <v>2820</v>
      </c>
      <c r="C272" s="102" t="s">
        <v>1184</v>
      </c>
    </row>
    <row r="273" spans="1:3" ht="15">
      <c r="A273" s="90" t="s">
        <v>363</v>
      </c>
      <c r="B273" s="89" t="s">
        <v>3297</v>
      </c>
      <c r="C273" s="102" t="s">
        <v>1184</v>
      </c>
    </row>
    <row r="274" spans="1:3" ht="15">
      <c r="A274" s="90" t="s">
        <v>363</v>
      </c>
      <c r="B274" s="89" t="s">
        <v>2821</v>
      </c>
      <c r="C274" s="102" t="s">
        <v>1184</v>
      </c>
    </row>
    <row r="275" spans="1:3" ht="15">
      <c r="A275" s="90" t="s">
        <v>363</v>
      </c>
      <c r="B275" s="89" t="s">
        <v>2822</v>
      </c>
      <c r="C275" s="102" t="s">
        <v>1184</v>
      </c>
    </row>
    <row r="276" spans="1:3" ht="15">
      <c r="A276" s="90" t="s">
        <v>363</v>
      </c>
      <c r="B276" s="89" t="s">
        <v>3298</v>
      </c>
      <c r="C276" s="102" t="s">
        <v>1184</v>
      </c>
    </row>
    <row r="277" spans="1:3" ht="15">
      <c r="A277" s="90" t="s">
        <v>363</v>
      </c>
      <c r="B277" s="89" t="s">
        <v>2823</v>
      </c>
      <c r="C277" s="102" t="s">
        <v>1184</v>
      </c>
    </row>
    <row r="278" spans="1:3" ht="15">
      <c r="A278" s="90" t="s">
        <v>363</v>
      </c>
      <c r="B278" s="89" t="s">
        <v>3299</v>
      </c>
      <c r="C278" s="102" t="s">
        <v>1184</v>
      </c>
    </row>
    <row r="279" spans="1:3" ht="15">
      <c r="A279" s="90" t="s">
        <v>363</v>
      </c>
      <c r="B279" s="89" t="s">
        <v>2824</v>
      </c>
      <c r="C279" s="102" t="s">
        <v>1184</v>
      </c>
    </row>
    <row r="280" spans="1:3" ht="15">
      <c r="A280" s="90" t="s">
        <v>363</v>
      </c>
      <c r="B280" s="89" t="s">
        <v>2825</v>
      </c>
      <c r="C280" s="102" t="s">
        <v>1184</v>
      </c>
    </row>
    <row r="281" spans="1:3" ht="15">
      <c r="A281" s="90" t="s">
        <v>363</v>
      </c>
      <c r="B281" s="89" t="s">
        <v>3300</v>
      </c>
      <c r="C281" s="102" t="s">
        <v>1184</v>
      </c>
    </row>
    <row r="282" spans="1:3" ht="15">
      <c r="A282" s="90" t="s">
        <v>363</v>
      </c>
      <c r="B282" s="89" t="s">
        <v>2768</v>
      </c>
      <c r="C282" s="102" t="s">
        <v>1184</v>
      </c>
    </row>
    <row r="283" spans="1:3" ht="15">
      <c r="A283" s="90" t="s">
        <v>363</v>
      </c>
      <c r="B283" s="89" t="s">
        <v>2826</v>
      </c>
      <c r="C283" s="102" t="s">
        <v>1184</v>
      </c>
    </row>
    <row r="284" spans="1:3" ht="15">
      <c r="A284" s="90" t="s">
        <v>363</v>
      </c>
      <c r="B284" s="89" t="s">
        <v>3301</v>
      </c>
      <c r="C284" s="102" t="s">
        <v>1184</v>
      </c>
    </row>
    <row r="285" spans="1:3" ht="15">
      <c r="A285" s="90" t="s">
        <v>363</v>
      </c>
      <c r="B285" s="89" t="s">
        <v>3302</v>
      </c>
      <c r="C285" s="102" t="s">
        <v>1184</v>
      </c>
    </row>
    <row r="286" spans="1:3" ht="15">
      <c r="A286" s="90" t="s">
        <v>363</v>
      </c>
      <c r="B286" s="89" t="s">
        <v>2827</v>
      </c>
      <c r="C286" s="102" t="s">
        <v>1184</v>
      </c>
    </row>
    <row r="287" spans="1:3" ht="15">
      <c r="A287" s="90" t="s">
        <v>363</v>
      </c>
      <c r="B287" s="89" t="s">
        <v>3141</v>
      </c>
      <c r="C287" s="102" t="s">
        <v>1184</v>
      </c>
    </row>
    <row r="288" spans="1:3" ht="15">
      <c r="A288" s="90" t="s">
        <v>363</v>
      </c>
      <c r="B288" s="89" t="s">
        <v>3303</v>
      </c>
      <c r="C288" s="102" t="s">
        <v>1184</v>
      </c>
    </row>
    <row r="289" spans="1:3" ht="15">
      <c r="A289" s="90" t="s">
        <v>363</v>
      </c>
      <c r="B289" s="89" t="s">
        <v>2677</v>
      </c>
      <c r="C289" s="102" t="s">
        <v>1184</v>
      </c>
    </row>
    <row r="290" spans="1:3" ht="15">
      <c r="A290" s="90" t="s">
        <v>363</v>
      </c>
      <c r="B290" s="89" t="s">
        <v>2828</v>
      </c>
      <c r="C290" s="102" t="s">
        <v>1184</v>
      </c>
    </row>
    <row r="291" spans="1:3" ht="15">
      <c r="A291" s="90" t="s">
        <v>363</v>
      </c>
      <c r="B291" s="89" t="s">
        <v>2680</v>
      </c>
      <c r="C291" s="102" t="s">
        <v>1184</v>
      </c>
    </row>
    <row r="292" spans="1:3" ht="15">
      <c r="A292" s="90" t="s">
        <v>363</v>
      </c>
      <c r="B292" s="89" t="s">
        <v>2769</v>
      </c>
      <c r="C292" s="102" t="s">
        <v>1184</v>
      </c>
    </row>
    <row r="293" spans="1:3" ht="15">
      <c r="A293" s="90" t="s">
        <v>363</v>
      </c>
      <c r="B293" s="89" t="s">
        <v>2829</v>
      </c>
      <c r="C293" s="102" t="s">
        <v>1184</v>
      </c>
    </row>
    <row r="294" spans="1:3" ht="15">
      <c r="A294" s="90" t="s">
        <v>363</v>
      </c>
      <c r="B294" s="89" t="s">
        <v>3137</v>
      </c>
      <c r="C294" s="102" t="s">
        <v>1184</v>
      </c>
    </row>
    <row r="295" spans="1:3" ht="15">
      <c r="A295" s="90" t="s">
        <v>363</v>
      </c>
      <c r="B295" s="89" t="s">
        <v>2830</v>
      </c>
      <c r="C295" s="102" t="s">
        <v>1184</v>
      </c>
    </row>
    <row r="296" spans="1:3" ht="15">
      <c r="A296" s="90" t="s">
        <v>363</v>
      </c>
      <c r="B296" s="89" t="s">
        <v>3304</v>
      </c>
      <c r="C296" s="102" t="s">
        <v>1184</v>
      </c>
    </row>
    <row r="297" spans="1:3" ht="15">
      <c r="A297" s="90" t="s">
        <v>363</v>
      </c>
      <c r="B297" s="89" t="s">
        <v>3305</v>
      </c>
      <c r="C297" s="102" t="s">
        <v>1184</v>
      </c>
    </row>
    <row r="298" spans="1:3" ht="15">
      <c r="A298" s="90" t="s">
        <v>363</v>
      </c>
      <c r="B298" s="89" t="s">
        <v>3306</v>
      </c>
      <c r="C298" s="102" t="s">
        <v>1184</v>
      </c>
    </row>
    <row r="299" spans="1:3" ht="15">
      <c r="A299" s="90" t="s">
        <v>363</v>
      </c>
      <c r="B299" s="89" t="s">
        <v>2831</v>
      </c>
      <c r="C299" s="102" t="s">
        <v>1184</v>
      </c>
    </row>
    <row r="300" spans="1:3" ht="15">
      <c r="A300" s="90" t="s">
        <v>363</v>
      </c>
      <c r="B300" s="89" t="s">
        <v>712</v>
      </c>
      <c r="C300" s="102" t="s">
        <v>1184</v>
      </c>
    </row>
    <row r="301" spans="1:3" ht="15">
      <c r="A301" s="90" t="s">
        <v>362</v>
      </c>
      <c r="B301" s="89" t="s">
        <v>3204</v>
      </c>
      <c r="C301" s="102" t="s">
        <v>1183</v>
      </c>
    </row>
    <row r="302" spans="1:3" ht="15">
      <c r="A302" s="90" t="s">
        <v>362</v>
      </c>
      <c r="B302" s="89" t="s">
        <v>2661</v>
      </c>
      <c r="C302" s="102" t="s">
        <v>1183</v>
      </c>
    </row>
    <row r="303" spans="1:3" ht="15">
      <c r="A303" s="90" t="s">
        <v>362</v>
      </c>
      <c r="B303" s="89" t="s">
        <v>3205</v>
      </c>
      <c r="C303" s="102" t="s">
        <v>1183</v>
      </c>
    </row>
    <row r="304" spans="1:3" ht="15">
      <c r="A304" s="90" t="s">
        <v>362</v>
      </c>
      <c r="B304" s="89" t="s">
        <v>3206</v>
      </c>
      <c r="C304" s="102" t="s">
        <v>1183</v>
      </c>
    </row>
    <row r="305" spans="1:3" ht="15">
      <c r="A305" s="90" t="s">
        <v>362</v>
      </c>
      <c r="B305" s="89" t="s">
        <v>3207</v>
      </c>
      <c r="C305" s="102" t="s">
        <v>1183</v>
      </c>
    </row>
    <row r="306" spans="1:3" ht="15">
      <c r="A306" s="90" t="s">
        <v>362</v>
      </c>
      <c r="B306" s="89" t="s">
        <v>2683</v>
      </c>
      <c r="C306" s="102" t="s">
        <v>1183</v>
      </c>
    </row>
    <row r="307" spans="1:3" ht="15">
      <c r="A307" s="90" t="s">
        <v>361</v>
      </c>
      <c r="B307" s="89" t="s">
        <v>3204</v>
      </c>
      <c r="C307" s="102" t="s">
        <v>1182</v>
      </c>
    </row>
    <row r="308" spans="1:3" ht="15">
      <c r="A308" s="90" t="s">
        <v>361</v>
      </c>
      <c r="B308" s="89" t="s">
        <v>2661</v>
      </c>
      <c r="C308" s="102" t="s">
        <v>1182</v>
      </c>
    </row>
    <row r="309" spans="1:3" ht="15">
      <c r="A309" s="90" t="s">
        <v>361</v>
      </c>
      <c r="B309" s="89" t="s">
        <v>3205</v>
      </c>
      <c r="C309" s="102" t="s">
        <v>1182</v>
      </c>
    </row>
    <row r="310" spans="1:3" ht="15">
      <c r="A310" s="90" t="s">
        <v>361</v>
      </c>
      <c r="B310" s="89" t="s">
        <v>3206</v>
      </c>
      <c r="C310" s="102" t="s">
        <v>1182</v>
      </c>
    </row>
    <row r="311" spans="1:3" ht="15">
      <c r="A311" s="90" t="s">
        <v>361</v>
      </c>
      <c r="B311" s="89" t="s">
        <v>3207</v>
      </c>
      <c r="C311" s="102" t="s">
        <v>1182</v>
      </c>
    </row>
    <row r="312" spans="1:3" ht="15">
      <c r="A312" s="90" t="s">
        <v>361</v>
      </c>
      <c r="B312" s="89" t="s">
        <v>2683</v>
      </c>
      <c r="C312" s="102" t="s">
        <v>1182</v>
      </c>
    </row>
    <row r="313" spans="1:3" ht="15">
      <c r="A313" s="90" t="s">
        <v>361</v>
      </c>
      <c r="B313" s="89" t="s">
        <v>3307</v>
      </c>
      <c r="C313" s="102" t="s">
        <v>1181</v>
      </c>
    </row>
    <row r="314" spans="1:3" ht="15">
      <c r="A314" s="90" t="s">
        <v>361</v>
      </c>
      <c r="B314" s="89" t="s">
        <v>3152</v>
      </c>
      <c r="C314" s="102" t="s">
        <v>1181</v>
      </c>
    </row>
    <row r="315" spans="1:3" ht="15">
      <c r="A315" s="90" t="s">
        <v>361</v>
      </c>
      <c r="B315" s="89" t="s">
        <v>3141</v>
      </c>
      <c r="C315" s="102" t="s">
        <v>1181</v>
      </c>
    </row>
    <row r="316" spans="1:3" ht="15">
      <c r="A316" s="90" t="s">
        <v>361</v>
      </c>
      <c r="B316" s="89" t="s">
        <v>2678</v>
      </c>
      <c r="C316" s="102" t="s">
        <v>1181</v>
      </c>
    </row>
    <row r="317" spans="1:3" ht="15">
      <c r="A317" s="90" t="s">
        <v>361</v>
      </c>
      <c r="B317" s="89" t="s">
        <v>2676</v>
      </c>
      <c r="C317" s="102" t="s">
        <v>1181</v>
      </c>
    </row>
    <row r="318" spans="1:3" ht="15">
      <c r="A318" s="90" t="s">
        <v>361</v>
      </c>
      <c r="B318" s="89" t="s">
        <v>3308</v>
      </c>
      <c r="C318" s="102" t="s">
        <v>1181</v>
      </c>
    </row>
    <row r="319" spans="1:3" ht="15">
      <c r="A319" s="90" t="s">
        <v>361</v>
      </c>
      <c r="B319" s="89" t="s">
        <v>3205</v>
      </c>
      <c r="C319" s="102" t="s">
        <v>1181</v>
      </c>
    </row>
    <row r="320" spans="1:3" ht="15">
      <c r="A320" s="90" t="s">
        <v>361</v>
      </c>
      <c r="B320" s="89" t="s">
        <v>3155</v>
      </c>
      <c r="C320" s="102" t="s">
        <v>1181</v>
      </c>
    </row>
    <row r="321" spans="1:3" ht="15">
      <c r="A321" s="90" t="s">
        <v>361</v>
      </c>
      <c r="B321" s="89" t="s">
        <v>3309</v>
      </c>
      <c r="C321" s="102" t="s">
        <v>1181</v>
      </c>
    </row>
    <row r="322" spans="1:3" ht="15">
      <c r="A322" s="90" t="s">
        <v>361</v>
      </c>
      <c r="B322" s="89" t="s">
        <v>2679</v>
      </c>
      <c r="C322" s="102" t="s">
        <v>1181</v>
      </c>
    </row>
    <row r="323" spans="1:3" ht="15">
      <c r="A323" s="90" t="s">
        <v>361</v>
      </c>
      <c r="B323" s="89" t="s">
        <v>712</v>
      </c>
      <c r="C323" s="102" t="s">
        <v>1181</v>
      </c>
    </row>
    <row r="324" spans="1:3" ht="15">
      <c r="A324" s="90" t="s">
        <v>361</v>
      </c>
      <c r="B324" s="89" t="s">
        <v>431</v>
      </c>
      <c r="C324" s="102" t="s">
        <v>1181</v>
      </c>
    </row>
    <row r="325" spans="1:3" ht="15">
      <c r="A325" s="90" t="s">
        <v>361</v>
      </c>
      <c r="B325" s="89" t="s">
        <v>3310</v>
      </c>
      <c r="C325" s="102" t="s">
        <v>1181</v>
      </c>
    </row>
    <row r="326" spans="1:3" ht="15">
      <c r="A326" s="90" t="s">
        <v>361</v>
      </c>
      <c r="B326" s="89" t="s">
        <v>3311</v>
      </c>
      <c r="C326" s="102" t="s">
        <v>1180</v>
      </c>
    </row>
    <row r="327" spans="1:3" ht="15">
      <c r="A327" s="90" t="s">
        <v>361</v>
      </c>
      <c r="B327" s="89" t="s">
        <v>3312</v>
      </c>
      <c r="C327" s="102" t="s">
        <v>1180</v>
      </c>
    </row>
    <row r="328" spans="1:3" ht="15">
      <c r="A328" s="90" t="s">
        <v>361</v>
      </c>
      <c r="B328" s="89" t="s">
        <v>2687</v>
      </c>
      <c r="C328" s="102" t="s">
        <v>1180</v>
      </c>
    </row>
    <row r="329" spans="1:3" ht="15">
      <c r="A329" s="90" t="s">
        <v>361</v>
      </c>
      <c r="B329" s="89" t="s">
        <v>2688</v>
      </c>
      <c r="C329" s="102" t="s">
        <v>1180</v>
      </c>
    </row>
    <row r="330" spans="1:3" ht="15">
      <c r="A330" s="90" t="s">
        <v>361</v>
      </c>
      <c r="B330" s="89" t="s">
        <v>2689</v>
      </c>
      <c r="C330" s="102" t="s">
        <v>1180</v>
      </c>
    </row>
    <row r="331" spans="1:3" ht="15">
      <c r="A331" s="90" t="s">
        <v>361</v>
      </c>
      <c r="B331" s="89" t="s">
        <v>2690</v>
      </c>
      <c r="C331" s="102" t="s">
        <v>1180</v>
      </c>
    </row>
    <row r="332" spans="1:3" ht="15">
      <c r="A332" s="90" t="s">
        <v>361</v>
      </c>
      <c r="B332" s="89" t="s">
        <v>2691</v>
      </c>
      <c r="C332" s="102" t="s">
        <v>1180</v>
      </c>
    </row>
    <row r="333" spans="1:3" ht="15">
      <c r="A333" s="90" t="s">
        <v>361</v>
      </c>
      <c r="B333" s="89" t="s">
        <v>2692</v>
      </c>
      <c r="C333" s="102" t="s">
        <v>1180</v>
      </c>
    </row>
    <row r="334" spans="1:3" ht="15">
      <c r="A334" s="90" t="s">
        <v>361</v>
      </c>
      <c r="B334" s="89" t="s">
        <v>2693</v>
      </c>
      <c r="C334" s="102" t="s">
        <v>1180</v>
      </c>
    </row>
    <row r="335" spans="1:3" ht="15">
      <c r="A335" s="90" t="s">
        <v>361</v>
      </c>
      <c r="B335" s="89" t="s">
        <v>3313</v>
      </c>
      <c r="C335" s="102" t="s">
        <v>1180</v>
      </c>
    </row>
    <row r="336" spans="1:3" ht="15">
      <c r="A336" s="90" t="s">
        <v>361</v>
      </c>
      <c r="B336" s="89" t="s">
        <v>2694</v>
      </c>
      <c r="C336" s="102" t="s">
        <v>1180</v>
      </c>
    </row>
    <row r="337" spans="1:3" ht="15">
      <c r="A337" s="90" t="s">
        <v>361</v>
      </c>
      <c r="B337" s="89" t="s">
        <v>3137</v>
      </c>
      <c r="C337" s="102" t="s">
        <v>1180</v>
      </c>
    </row>
    <row r="338" spans="1:3" ht="15">
      <c r="A338" s="90" t="s">
        <v>361</v>
      </c>
      <c r="B338" s="89" t="s">
        <v>2695</v>
      </c>
      <c r="C338" s="102" t="s">
        <v>1180</v>
      </c>
    </row>
    <row r="339" spans="1:3" ht="15">
      <c r="A339" s="90" t="s">
        <v>361</v>
      </c>
      <c r="B339" s="89" t="s">
        <v>2696</v>
      </c>
      <c r="C339" s="102" t="s">
        <v>1180</v>
      </c>
    </row>
    <row r="340" spans="1:3" ht="15">
      <c r="A340" s="90" t="s">
        <v>361</v>
      </c>
      <c r="B340" s="89" t="s">
        <v>3314</v>
      </c>
      <c r="C340" s="102" t="s">
        <v>1180</v>
      </c>
    </row>
    <row r="341" spans="1:3" ht="15">
      <c r="A341" s="90" t="s">
        <v>361</v>
      </c>
      <c r="B341" s="89" t="s">
        <v>712</v>
      </c>
      <c r="C341" s="102" t="s">
        <v>1180</v>
      </c>
    </row>
    <row r="342" spans="1:3" ht="15">
      <c r="A342" s="90" t="s">
        <v>361</v>
      </c>
      <c r="B342" s="89" t="s">
        <v>3315</v>
      </c>
      <c r="C342" s="102" t="s">
        <v>1180</v>
      </c>
    </row>
    <row r="343" spans="1:3" ht="15">
      <c r="A343" s="90" t="s">
        <v>361</v>
      </c>
      <c r="B343" s="89" t="s">
        <v>2699</v>
      </c>
      <c r="C343" s="102" t="s">
        <v>1180</v>
      </c>
    </row>
    <row r="344" spans="1:3" ht="15">
      <c r="A344" s="90" t="s">
        <v>361</v>
      </c>
      <c r="B344" s="89" t="s">
        <v>2700</v>
      </c>
      <c r="C344" s="102" t="s">
        <v>1180</v>
      </c>
    </row>
    <row r="345" spans="1:3" ht="15">
      <c r="A345" s="90" t="s">
        <v>361</v>
      </c>
      <c r="B345" s="89" t="s">
        <v>2701</v>
      </c>
      <c r="C345" s="102" t="s">
        <v>1180</v>
      </c>
    </row>
    <row r="346" spans="1:3" ht="15">
      <c r="A346" s="90" t="s">
        <v>361</v>
      </c>
      <c r="B346" s="89" t="s">
        <v>3316</v>
      </c>
      <c r="C346" s="102" t="s">
        <v>1180</v>
      </c>
    </row>
    <row r="347" spans="1:3" ht="15">
      <c r="A347" s="90" t="s">
        <v>361</v>
      </c>
      <c r="B347" s="89" t="s">
        <v>2680</v>
      </c>
      <c r="C347" s="102" t="s">
        <v>1180</v>
      </c>
    </row>
    <row r="348" spans="1:3" ht="15">
      <c r="A348" s="90" t="s">
        <v>361</v>
      </c>
      <c r="B348" s="89" t="s">
        <v>2702</v>
      </c>
      <c r="C348" s="102" t="s">
        <v>1180</v>
      </c>
    </row>
    <row r="349" spans="1:3" ht="15">
      <c r="A349" s="90" t="s">
        <v>361</v>
      </c>
      <c r="B349" s="89" t="s">
        <v>2703</v>
      </c>
      <c r="C349" s="102" t="s">
        <v>1180</v>
      </c>
    </row>
    <row r="350" spans="1:3" ht="15">
      <c r="A350" s="90" t="s">
        <v>361</v>
      </c>
      <c r="B350" s="89" t="s">
        <v>3317</v>
      </c>
      <c r="C350" s="102" t="s">
        <v>1180</v>
      </c>
    </row>
    <row r="351" spans="1:3" ht="15">
      <c r="A351" s="90" t="s">
        <v>361</v>
      </c>
      <c r="B351" s="89" t="s">
        <v>3318</v>
      </c>
      <c r="C351" s="102" t="s">
        <v>1180</v>
      </c>
    </row>
    <row r="352" spans="1:3" ht="15">
      <c r="A352" s="90" t="s">
        <v>361</v>
      </c>
      <c r="B352" s="89" t="s">
        <v>226</v>
      </c>
      <c r="C352" s="102" t="s">
        <v>1180</v>
      </c>
    </row>
    <row r="353" spans="1:3" ht="15">
      <c r="A353" s="90" t="s">
        <v>360</v>
      </c>
      <c r="B353" s="89" t="s">
        <v>349</v>
      </c>
      <c r="C353" s="102" t="s">
        <v>1177</v>
      </c>
    </row>
    <row r="354" spans="1:3" ht="15">
      <c r="A354" s="90" t="s">
        <v>360</v>
      </c>
      <c r="B354" s="89" t="s">
        <v>502</v>
      </c>
      <c r="C354" s="102" t="s">
        <v>1177</v>
      </c>
    </row>
    <row r="355" spans="1:3" ht="15">
      <c r="A355" s="90" t="s">
        <v>360</v>
      </c>
      <c r="B355" s="89" t="s">
        <v>3204</v>
      </c>
      <c r="C355" s="102" t="s">
        <v>1177</v>
      </c>
    </row>
    <row r="356" spans="1:3" ht="15">
      <c r="A356" s="90" t="s">
        <v>360</v>
      </c>
      <c r="B356" s="89" t="s">
        <v>3155</v>
      </c>
      <c r="C356" s="102" t="s">
        <v>1177</v>
      </c>
    </row>
    <row r="357" spans="1:3" ht="15">
      <c r="A357" s="90" t="s">
        <v>360</v>
      </c>
      <c r="B357" s="89" t="s">
        <v>3309</v>
      </c>
      <c r="C357" s="102" t="s">
        <v>1177</v>
      </c>
    </row>
    <row r="358" spans="1:3" ht="15">
      <c r="A358" s="90" t="s">
        <v>360</v>
      </c>
      <c r="B358" s="89" t="s">
        <v>3319</v>
      </c>
      <c r="C358" s="102" t="s">
        <v>1177</v>
      </c>
    </row>
    <row r="359" spans="1:3" ht="15">
      <c r="A359" s="90" t="s">
        <v>360</v>
      </c>
      <c r="B359" s="89" t="s">
        <v>2714</v>
      </c>
      <c r="C359" s="102" t="s">
        <v>1177</v>
      </c>
    </row>
    <row r="360" spans="1:3" ht="15">
      <c r="A360" s="90" t="s">
        <v>360</v>
      </c>
      <c r="B360" s="89" t="s">
        <v>3320</v>
      </c>
      <c r="C360" s="102" t="s">
        <v>1177</v>
      </c>
    </row>
    <row r="361" spans="1:3" ht="15">
      <c r="A361" s="90" t="s">
        <v>360</v>
      </c>
      <c r="B361" s="89" t="s">
        <v>3321</v>
      </c>
      <c r="C361" s="102" t="s">
        <v>1177</v>
      </c>
    </row>
    <row r="362" spans="1:3" ht="15">
      <c r="A362" s="90" t="s">
        <v>360</v>
      </c>
      <c r="B362" s="89" t="s">
        <v>2947</v>
      </c>
      <c r="C362" s="102" t="s">
        <v>1177</v>
      </c>
    </row>
    <row r="363" spans="1:3" ht="15">
      <c r="A363" s="90" t="s">
        <v>360</v>
      </c>
      <c r="B363" s="89" t="s">
        <v>3192</v>
      </c>
      <c r="C363" s="102" t="s">
        <v>1177</v>
      </c>
    </row>
    <row r="364" spans="1:3" ht="15">
      <c r="A364" s="90" t="s">
        <v>360</v>
      </c>
      <c r="B364" s="89" t="s">
        <v>3322</v>
      </c>
      <c r="C364" s="102" t="s">
        <v>1177</v>
      </c>
    </row>
    <row r="365" spans="1:3" ht="15">
      <c r="A365" s="90" t="s">
        <v>360</v>
      </c>
      <c r="B365" s="89" t="s">
        <v>3323</v>
      </c>
      <c r="C365" s="102" t="s">
        <v>1177</v>
      </c>
    </row>
    <row r="366" spans="1:3" ht="15">
      <c r="A366" s="90" t="s">
        <v>360</v>
      </c>
      <c r="B366" s="89" t="s">
        <v>3201</v>
      </c>
      <c r="C366" s="102" t="s">
        <v>1177</v>
      </c>
    </row>
    <row r="367" spans="1:3" ht="15">
      <c r="A367" s="90" t="s">
        <v>360</v>
      </c>
      <c r="B367" s="89" t="s">
        <v>2733</v>
      </c>
      <c r="C367" s="102" t="s">
        <v>1177</v>
      </c>
    </row>
    <row r="368" spans="1:3" ht="15">
      <c r="A368" s="90" t="s">
        <v>360</v>
      </c>
      <c r="B368" s="89" t="s">
        <v>3324</v>
      </c>
      <c r="C368" s="102" t="s">
        <v>1177</v>
      </c>
    </row>
    <row r="369" spans="1:3" ht="15">
      <c r="A369" s="90" t="s">
        <v>360</v>
      </c>
      <c r="B369" s="89" t="s">
        <v>3325</v>
      </c>
      <c r="C369" s="102" t="s">
        <v>1177</v>
      </c>
    </row>
    <row r="370" spans="1:3" ht="15">
      <c r="A370" s="90" t="s">
        <v>360</v>
      </c>
      <c r="B370" s="89" t="s">
        <v>2832</v>
      </c>
      <c r="C370" s="102" t="s">
        <v>1177</v>
      </c>
    </row>
    <row r="371" spans="1:3" ht="15">
      <c r="A371" s="90" t="s">
        <v>360</v>
      </c>
      <c r="B371" s="89" t="s">
        <v>2948</v>
      </c>
      <c r="C371" s="102" t="s">
        <v>1177</v>
      </c>
    </row>
    <row r="372" spans="1:3" ht="15">
      <c r="A372" s="90" t="s">
        <v>360</v>
      </c>
      <c r="B372" s="89" t="s">
        <v>3326</v>
      </c>
      <c r="C372" s="102" t="s">
        <v>1177</v>
      </c>
    </row>
    <row r="373" spans="1:3" ht="15">
      <c r="A373" s="90" t="s">
        <v>360</v>
      </c>
      <c r="B373" s="89" t="s">
        <v>3327</v>
      </c>
      <c r="C373" s="102" t="s">
        <v>1177</v>
      </c>
    </row>
    <row r="374" spans="1:3" ht="15">
      <c r="A374" s="90" t="s">
        <v>360</v>
      </c>
      <c r="B374" s="89" t="s">
        <v>3305</v>
      </c>
      <c r="C374" s="102" t="s">
        <v>1177</v>
      </c>
    </row>
    <row r="375" spans="1:3" ht="15">
      <c r="A375" s="90" t="s">
        <v>360</v>
      </c>
      <c r="B375" s="89" t="s">
        <v>3328</v>
      </c>
      <c r="C375" s="102" t="s">
        <v>1177</v>
      </c>
    </row>
    <row r="376" spans="1:3" ht="15">
      <c r="A376" s="90" t="s">
        <v>360</v>
      </c>
      <c r="B376" s="89" t="s">
        <v>3329</v>
      </c>
      <c r="C376" s="102" t="s">
        <v>1177</v>
      </c>
    </row>
    <row r="377" spans="1:3" ht="15">
      <c r="A377" s="90" t="s">
        <v>360</v>
      </c>
      <c r="B377" s="89" t="s">
        <v>3301</v>
      </c>
      <c r="C377" s="102" t="s">
        <v>1177</v>
      </c>
    </row>
    <row r="378" spans="1:3" ht="15">
      <c r="A378" s="90" t="s">
        <v>360</v>
      </c>
      <c r="B378" s="89" t="s">
        <v>3303</v>
      </c>
      <c r="C378" s="102" t="s">
        <v>1177</v>
      </c>
    </row>
    <row r="379" spans="1:3" ht="15">
      <c r="A379" s="90" t="s">
        <v>360</v>
      </c>
      <c r="B379" s="89" t="s">
        <v>3299</v>
      </c>
      <c r="C379" s="102" t="s">
        <v>1177</v>
      </c>
    </row>
    <row r="380" spans="1:3" ht="15">
      <c r="A380" s="90" t="s">
        <v>359</v>
      </c>
      <c r="B380" s="89" t="s">
        <v>399</v>
      </c>
      <c r="C380" s="102" t="s">
        <v>1176</v>
      </c>
    </row>
    <row r="381" spans="1:3" ht="15">
      <c r="A381" s="90" t="s">
        <v>359</v>
      </c>
      <c r="B381" s="89" t="s">
        <v>3206</v>
      </c>
      <c r="C381" s="102" t="s">
        <v>1176</v>
      </c>
    </row>
    <row r="382" spans="1:3" ht="15">
      <c r="A382" s="90" t="s">
        <v>359</v>
      </c>
      <c r="B382" s="89" t="s">
        <v>2949</v>
      </c>
      <c r="C382" s="102" t="s">
        <v>1176</v>
      </c>
    </row>
    <row r="383" spans="1:3" ht="15">
      <c r="A383" s="90" t="s">
        <v>359</v>
      </c>
      <c r="B383" s="89" t="s">
        <v>3330</v>
      </c>
      <c r="C383" s="102" t="s">
        <v>1176</v>
      </c>
    </row>
    <row r="384" spans="1:3" ht="15">
      <c r="A384" s="90" t="s">
        <v>359</v>
      </c>
      <c r="B384" s="89" t="s">
        <v>3331</v>
      </c>
      <c r="C384" s="102" t="s">
        <v>1176</v>
      </c>
    </row>
    <row r="385" spans="1:3" ht="15">
      <c r="A385" s="90" t="s">
        <v>359</v>
      </c>
      <c r="B385" s="89" t="s">
        <v>3332</v>
      </c>
      <c r="C385" s="102" t="s">
        <v>1176</v>
      </c>
    </row>
    <row r="386" spans="1:3" ht="15">
      <c r="A386" s="90" t="s">
        <v>359</v>
      </c>
      <c r="B386" s="89" t="s">
        <v>3137</v>
      </c>
      <c r="C386" s="102" t="s">
        <v>1176</v>
      </c>
    </row>
    <row r="387" spans="1:3" ht="15">
      <c r="A387" s="90" t="s">
        <v>359</v>
      </c>
      <c r="B387" s="89" t="s">
        <v>3333</v>
      </c>
      <c r="C387" s="102" t="s">
        <v>1176</v>
      </c>
    </row>
    <row r="388" spans="1:3" ht="15">
      <c r="A388" s="90" t="s">
        <v>359</v>
      </c>
      <c r="B388" s="89" t="s">
        <v>2833</v>
      </c>
      <c r="C388" s="102" t="s">
        <v>1176</v>
      </c>
    </row>
    <row r="389" spans="1:3" ht="15">
      <c r="A389" s="90" t="s">
        <v>359</v>
      </c>
      <c r="B389" s="89" t="s">
        <v>3334</v>
      </c>
      <c r="C389" s="102" t="s">
        <v>1176</v>
      </c>
    </row>
    <row r="390" spans="1:3" ht="15">
      <c r="A390" s="90" t="s">
        <v>359</v>
      </c>
      <c r="B390" s="89" t="s">
        <v>2952</v>
      </c>
      <c r="C390" s="102" t="s">
        <v>1176</v>
      </c>
    </row>
    <row r="391" spans="1:3" ht="15">
      <c r="A391" s="90" t="s">
        <v>359</v>
      </c>
      <c r="B391" s="89" t="s">
        <v>3301</v>
      </c>
      <c r="C391" s="102" t="s">
        <v>1176</v>
      </c>
    </row>
    <row r="392" spans="1:3" ht="15">
      <c r="A392" s="90" t="s">
        <v>359</v>
      </c>
      <c r="B392" s="89" t="s">
        <v>3335</v>
      </c>
      <c r="C392" s="102" t="s">
        <v>1176</v>
      </c>
    </row>
    <row r="393" spans="1:3" ht="15">
      <c r="A393" s="90" t="s">
        <v>359</v>
      </c>
      <c r="B393" s="89" t="s">
        <v>2834</v>
      </c>
      <c r="C393" s="102" t="s">
        <v>1176</v>
      </c>
    </row>
    <row r="394" spans="1:3" ht="15">
      <c r="A394" s="90" t="s">
        <v>359</v>
      </c>
      <c r="B394" s="89" t="s">
        <v>712</v>
      </c>
      <c r="C394" s="102" t="s">
        <v>1176</v>
      </c>
    </row>
    <row r="395" spans="1:3" ht="15">
      <c r="A395" s="90" t="s">
        <v>359</v>
      </c>
      <c r="B395" s="89" t="s">
        <v>3302</v>
      </c>
      <c r="C395" s="102" t="s">
        <v>1176</v>
      </c>
    </row>
    <row r="396" spans="1:3" ht="15">
      <c r="A396" s="90" t="s">
        <v>359</v>
      </c>
      <c r="B396" s="89" t="s">
        <v>3155</v>
      </c>
      <c r="C396" s="102" t="s">
        <v>1176</v>
      </c>
    </row>
    <row r="397" spans="1:3" ht="15">
      <c r="A397" s="90" t="s">
        <v>359</v>
      </c>
      <c r="B397" s="89" t="s">
        <v>3336</v>
      </c>
      <c r="C397" s="102" t="s">
        <v>1176</v>
      </c>
    </row>
    <row r="398" spans="1:3" ht="15">
      <c r="A398" s="90" t="s">
        <v>359</v>
      </c>
      <c r="B398" s="89" t="s">
        <v>3337</v>
      </c>
      <c r="C398" s="102" t="s">
        <v>1176</v>
      </c>
    </row>
    <row r="399" spans="1:3" ht="15">
      <c r="A399" s="90" t="s">
        <v>359</v>
      </c>
      <c r="B399" s="89" t="s">
        <v>3338</v>
      </c>
      <c r="C399" s="102" t="s">
        <v>1176</v>
      </c>
    </row>
    <row r="400" spans="1:3" ht="15">
      <c r="A400" s="90" t="s">
        <v>359</v>
      </c>
      <c r="B400" s="89" t="s">
        <v>3339</v>
      </c>
      <c r="C400" s="102" t="s">
        <v>1176</v>
      </c>
    </row>
    <row r="401" spans="1:3" ht="15">
      <c r="A401" s="90" t="s">
        <v>359</v>
      </c>
      <c r="B401" s="89" t="s">
        <v>3340</v>
      </c>
      <c r="C401" s="102" t="s">
        <v>1176</v>
      </c>
    </row>
    <row r="402" spans="1:3" ht="15">
      <c r="A402" s="90" t="s">
        <v>359</v>
      </c>
      <c r="B402" s="89" t="s">
        <v>2734</v>
      </c>
      <c r="C402" s="102" t="s">
        <v>1176</v>
      </c>
    </row>
    <row r="403" spans="1:3" ht="15">
      <c r="A403" s="90" t="s">
        <v>359</v>
      </c>
      <c r="B403" s="89" t="s">
        <v>3341</v>
      </c>
      <c r="C403" s="102" t="s">
        <v>1176</v>
      </c>
    </row>
    <row r="404" spans="1:3" ht="15">
      <c r="A404" s="90" t="s">
        <v>359</v>
      </c>
      <c r="B404" s="89" t="s">
        <v>399</v>
      </c>
      <c r="C404" s="102" t="s">
        <v>1175</v>
      </c>
    </row>
    <row r="405" spans="1:3" ht="15">
      <c r="A405" s="90" t="s">
        <v>359</v>
      </c>
      <c r="B405" s="89" t="s">
        <v>3342</v>
      </c>
      <c r="C405" s="102" t="s">
        <v>1175</v>
      </c>
    </row>
    <row r="406" spans="1:3" ht="15">
      <c r="A406" s="90" t="s">
        <v>359</v>
      </c>
      <c r="B406" s="89" t="s">
        <v>2673</v>
      </c>
      <c r="C406" s="102" t="s">
        <v>1175</v>
      </c>
    </row>
    <row r="407" spans="1:3" ht="15">
      <c r="A407" s="90" t="s">
        <v>359</v>
      </c>
      <c r="B407" s="89" t="s">
        <v>2949</v>
      </c>
      <c r="C407" s="102" t="s">
        <v>1175</v>
      </c>
    </row>
    <row r="408" spans="1:3" ht="15">
      <c r="A408" s="90" t="s">
        <v>359</v>
      </c>
      <c r="B408" s="89" t="s">
        <v>3331</v>
      </c>
      <c r="C408" s="102" t="s">
        <v>1175</v>
      </c>
    </row>
    <row r="409" spans="1:3" ht="15">
      <c r="A409" s="90" t="s">
        <v>359</v>
      </c>
      <c r="B409" s="89" t="s">
        <v>2661</v>
      </c>
      <c r="C409" s="102" t="s">
        <v>1175</v>
      </c>
    </row>
    <row r="410" spans="1:3" ht="15">
      <c r="A410" s="90" t="s">
        <v>359</v>
      </c>
      <c r="B410" s="89" t="s">
        <v>3137</v>
      </c>
      <c r="C410" s="102" t="s">
        <v>1175</v>
      </c>
    </row>
    <row r="411" spans="1:3" ht="15">
      <c r="A411" s="90" t="s">
        <v>359</v>
      </c>
      <c r="B411" s="89" t="s">
        <v>3332</v>
      </c>
      <c r="C411" s="102" t="s">
        <v>1175</v>
      </c>
    </row>
    <row r="412" spans="1:3" ht="15">
      <c r="A412" s="90" t="s">
        <v>359</v>
      </c>
      <c r="B412" s="89" t="s">
        <v>3343</v>
      </c>
      <c r="C412" s="102" t="s">
        <v>1175</v>
      </c>
    </row>
    <row r="413" spans="1:3" ht="15">
      <c r="A413" s="90" t="s">
        <v>359</v>
      </c>
      <c r="B413" s="89" t="s">
        <v>3334</v>
      </c>
      <c r="C413" s="102" t="s">
        <v>1175</v>
      </c>
    </row>
    <row r="414" spans="1:3" ht="15">
      <c r="A414" s="90" t="s">
        <v>359</v>
      </c>
      <c r="B414" s="89" t="s">
        <v>2952</v>
      </c>
      <c r="C414" s="102" t="s">
        <v>1175</v>
      </c>
    </row>
    <row r="415" spans="1:3" ht="15">
      <c r="A415" s="90" t="s">
        <v>359</v>
      </c>
      <c r="B415" s="89" t="s">
        <v>3344</v>
      </c>
      <c r="C415" s="102" t="s">
        <v>1175</v>
      </c>
    </row>
    <row r="416" spans="1:3" ht="15">
      <c r="A416" s="90" t="s">
        <v>359</v>
      </c>
      <c r="B416" s="89" t="s">
        <v>3345</v>
      </c>
      <c r="C416" s="102" t="s">
        <v>1175</v>
      </c>
    </row>
    <row r="417" spans="1:3" ht="15">
      <c r="A417" s="90" t="s">
        <v>359</v>
      </c>
      <c r="B417" s="89" t="s">
        <v>712</v>
      </c>
      <c r="C417" s="102" t="s">
        <v>1175</v>
      </c>
    </row>
    <row r="418" spans="1:3" ht="15">
      <c r="A418" s="90" t="s">
        <v>359</v>
      </c>
      <c r="B418" s="89" t="s">
        <v>3346</v>
      </c>
      <c r="C418" s="102" t="s">
        <v>1175</v>
      </c>
    </row>
    <row r="419" spans="1:3" ht="15">
      <c r="A419" s="90" t="s">
        <v>359</v>
      </c>
      <c r="B419" s="89" t="s">
        <v>3347</v>
      </c>
      <c r="C419" s="102" t="s">
        <v>1175</v>
      </c>
    </row>
    <row r="420" spans="1:3" ht="15">
      <c r="A420" s="90" t="s">
        <v>359</v>
      </c>
      <c r="B420" s="89" t="s">
        <v>2716</v>
      </c>
      <c r="C420" s="102" t="s">
        <v>1175</v>
      </c>
    </row>
    <row r="421" spans="1:3" ht="15">
      <c r="A421" s="90" t="s">
        <v>359</v>
      </c>
      <c r="B421" s="89" t="s">
        <v>3348</v>
      </c>
      <c r="C421" s="102" t="s">
        <v>1175</v>
      </c>
    </row>
    <row r="422" spans="1:3" ht="15">
      <c r="A422" s="90" t="s">
        <v>359</v>
      </c>
      <c r="B422" s="89" t="s">
        <v>3349</v>
      </c>
      <c r="C422" s="102" t="s">
        <v>1175</v>
      </c>
    </row>
    <row r="423" spans="1:3" ht="15">
      <c r="A423" s="90" t="s">
        <v>359</v>
      </c>
      <c r="B423" s="89" t="s">
        <v>3350</v>
      </c>
      <c r="C423" s="102" t="s">
        <v>1175</v>
      </c>
    </row>
    <row r="424" spans="1:3" ht="15">
      <c r="A424" s="90" t="s">
        <v>359</v>
      </c>
      <c r="B424" s="89" t="s">
        <v>3351</v>
      </c>
      <c r="C424" s="102" t="s">
        <v>1175</v>
      </c>
    </row>
    <row r="425" spans="1:3" ht="15">
      <c r="A425" s="90" t="s">
        <v>359</v>
      </c>
      <c r="B425" s="89" t="s">
        <v>3352</v>
      </c>
      <c r="C425" s="102" t="s">
        <v>1175</v>
      </c>
    </row>
    <row r="426" spans="1:3" ht="15">
      <c r="A426" s="90" t="s">
        <v>359</v>
      </c>
      <c r="B426" s="89" t="s">
        <v>3353</v>
      </c>
      <c r="C426" s="102" t="s">
        <v>1175</v>
      </c>
    </row>
    <row r="427" spans="1:3" ht="15">
      <c r="A427" s="90" t="s">
        <v>359</v>
      </c>
      <c r="B427" s="89" t="s">
        <v>3354</v>
      </c>
      <c r="C427" s="102" t="s">
        <v>1175</v>
      </c>
    </row>
    <row r="428" spans="1:3" ht="15">
      <c r="A428" s="90" t="s">
        <v>358</v>
      </c>
      <c r="B428" s="89" t="s">
        <v>3204</v>
      </c>
      <c r="C428" s="102" t="s">
        <v>1174</v>
      </c>
    </row>
    <row r="429" spans="1:3" ht="15">
      <c r="A429" s="90" t="s">
        <v>358</v>
      </c>
      <c r="B429" s="89" t="s">
        <v>2661</v>
      </c>
      <c r="C429" s="102" t="s">
        <v>1174</v>
      </c>
    </row>
    <row r="430" spans="1:3" ht="15">
      <c r="A430" s="90" t="s">
        <v>358</v>
      </c>
      <c r="B430" s="89" t="s">
        <v>3205</v>
      </c>
      <c r="C430" s="102" t="s">
        <v>1174</v>
      </c>
    </row>
    <row r="431" spans="1:3" ht="15">
      <c r="A431" s="90" t="s">
        <v>358</v>
      </c>
      <c r="B431" s="89" t="s">
        <v>3206</v>
      </c>
      <c r="C431" s="102" t="s">
        <v>1174</v>
      </c>
    </row>
    <row r="432" spans="1:3" ht="15">
      <c r="A432" s="90" t="s">
        <v>358</v>
      </c>
      <c r="B432" s="89" t="s">
        <v>3207</v>
      </c>
      <c r="C432" s="102" t="s">
        <v>1174</v>
      </c>
    </row>
    <row r="433" spans="1:3" ht="15">
      <c r="A433" s="90" t="s">
        <v>358</v>
      </c>
      <c r="B433" s="89" t="s">
        <v>2683</v>
      </c>
      <c r="C433" s="102" t="s">
        <v>1174</v>
      </c>
    </row>
    <row r="434" spans="1:3" ht="15">
      <c r="A434" s="90" t="s">
        <v>357</v>
      </c>
      <c r="B434" s="89" t="s">
        <v>3204</v>
      </c>
      <c r="C434" s="102" t="s">
        <v>1173</v>
      </c>
    </row>
    <row r="435" spans="1:3" ht="15">
      <c r="A435" s="90" t="s">
        <v>357</v>
      </c>
      <c r="B435" s="89" t="s">
        <v>2661</v>
      </c>
      <c r="C435" s="102" t="s">
        <v>1173</v>
      </c>
    </row>
    <row r="436" spans="1:3" ht="15">
      <c r="A436" s="90" t="s">
        <v>357</v>
      </c>
      <c r="B436" s="89" t="s">
        <v>3205</v>
      </c>
      <c r="C436" s="102" t="s">
        <v>1173</v>
      </c>
    </row>
    <row r="437" spans="1:3" ht="15">
      <c r="A437" s="90" t="s">
        <v>357</v>
      </c>
      <c r="B437" s="89" t="s">
        <v>3206</v>
      </c>
      <c r="C437" s="102" t="s">
        <v>1173</v>
      </c>
    </row>
    <row r="438" spans="1:3" ht="15">
      <c r="A438" s="90" t="s">
        <v>357</v>
      </c>
      <c r="B438" s="89" t="s">
        <v>3207</v>
      </c>
      <c r="C438" s="102" t="s">
        <v>1173</v>
      </c>
    </row>
    <row r="439" spans="1:3" ht="15">
      <c r="A439" s="90" t="s">
        <v>357</v>
      </c>
      <c r="B439" s="89" t="s">
        <v>2683</v>
      </c>
      <c r="C439" s="102" t="s">
        <v>1173</v>
      </c>
    </row>
    <row r="440" spans="1:3" ht="15">
      <c r="A440" s="90" t="s">
        <v>357</v>
      </c>
      <c r="B440" s="89" t="s">
        <v>3355</v>
      </c>
      <c r="C440" s="102" t="s">
        <v>1172</v>
      </c>
    </row>
    <row r="441" spans="1:3" ht="15">
      <c r="A441" s="90" t="s">
        <v>357</v>
      </c>
      <c r="B441" s="89" t="s">
        <v>2670</v>
      </c>
      <c r="C441" s="102" t="s">
        <v>1172</v>
      </c>
    </row>
    <row r="442" spans="1:3" ht="15">
      <c r="A442" s="90" t="s">
        <v>357</v>
      </c>
      <c r="B442" s="89" t="s">
        <v>2671</v>
      </c>
      <c r="C442" s="102" t="s">
        <v>1172</v>
      </c>
    </row>
    <row r="443" spans="1:3" ht="15">
      <c r="A443" s="90" t="s">
        <v>357</v>
      </c>
      <c r="B443" s="89" t="s">
        <v>2666</v>
      </c>
      <c r="C443" s="102" t="s">
        <v>1172</v>
      </c>
    </row>
    <row r="444" spans="1:3" ht="15">
      <c r="A444" s="90" t="s">
        <v>357</v>
      </c>
      <c r="B444" s="89" t="s">
        <v>2664</v>
      </c>
      <c r="C444" s="102" t="s">
        <v>1172</v>
      </c>
    </row>
    <row r="445" spans="1:3" ht="15">
      <c r="A445" s="90" t="s">
        <v>357</v>
      </c>
      <c r="B445" s="89" t="s">
        <v>2667</v>
      </c>
      <c r="C445" s="102" t="s">
        <v>1172</v>
      </c>
    </row>
    <row r="446" spans="1:3" ht="15">
      <c r="A446" s="90" t="s">
        <v>357</v>
      </c>
      <c r="B446" s="89" t="s">
        <v>2663</v>
      </c>
      <c r="C446" s="102" t="s">
        <v>1172</v>
      </c>
    </row>
    <row r="447" spans="1:3" ht="15">
      <c r="A447" s="90" t="s">
        <v>357</v>
      </c>
      <c r="B447" s="89" t="s">
        <v>3137</v>
      </c>
      <c r="C447" s="102" t="s">
        <v>1172</v>
      </c>
    </row>
    <row r="448" spans="1:3" ht="15">
      <c r="A448" s="90" t="s">
        <v>357</v>
      </c>
      <c r="B448" s="89" t="s">
        <v>712</v>
      </c>
      <c r="C448" s="102" t="s">
        <v>1172</v>
      </c>
    </row>
    <row r="449" spans="1:3" ht="15">
      <c r="A449" s="90" t="s">
        <v>357</v>
      </c>
      <c r="B449" s="89" t="s">
        <v>3356</v>
      </c>
      <c r="C449" s="102" t="s">
        <v>1172</v>
      </c>
    </row>
    <row r="450" spans="1:3" ht="15">
      <c r="A450" s="90" t="s">
        <v>357</v>
      </c>
      <c r="B450" s="89" t="s">
        <v>2668</v>
      </c>
      <c r="C450" s="102" t="s">
        <v>1172</v>
      </c>
    </row>
    <row r="451" spans="1:3" ht="15">
      <c r="A451" s="90" t="s">
        <v>357</v>
      </c>
      <c r="B451" s="89" t="s">
        <v>3357</v>
      </c>
      <c r="C451" s="102" t="s">
        <v>1172</v>
      </c>
    </row>
    <row r="452" spans="1:3" ht="15">
      <c r="A452" s="90" t="s">
        <v>357</v>
      </c>
      <c r="B452" s="89" t="s">
        <v>2672</v>
      </c>
      <c r="C452" s="102" t="s">
        <v>1172</v>
      </c>
    </row>
    <row r="453" spans="1:3" ht="15">
      <c r="A453" s="90" t="s">
        <v>357</v>
      </c>
      <c r="B453" s="89" t="s">
        <v>2665</v>
      </c>
      <c r="C453" s="102" t="s">
        <v>1172</v>
      </c>
    </row>
    <row r="454" spans="1:3" ht="15">
      <c r="A454" s="90" t="s">
        <v>349</v>
      </c>
      <c r="B454" s="89" t="s">
        <v>3274</v>
      </c>
      <c r="C454" s="102" t="s">
        <v>1203</v>
      </c>
    </row>
    <row r="455" spans="1:3" ht="15">
      <c r="A455" s="90" t="s">
        <v>349</v>
      </c>
      <c r="B455" s="89" t="s">
        <v>3189</v>
      </c>
      <c r="C455" s="102" t="s">
        <v>1203</v>
      </c>
    </row>
    <row r="456" spans="1:3" ht="15">
      <c r="A456" s="90" t="s">
        <v>349</v>
      </c>
      <c r="B456" s="89" t="s">
        <v>3295</v>
      </c>
      <c r="C456" s="102" t="s">
        <v>1203</v>
      </c>
    </row>
    <row r="457" spans="1:3" ht="15">
      <c r="A457" s="90" t="s">
        <v>349</v>
      </c>
      <c r="B457" s="89" t="s">
        <v>3195</v>
      </c>
      <c r="C457" s="102" t="s">
        <v>1203</v>
      </c>
    </row>
    <row r="458" spans="1:3" ht="15">
      <c r="A458" s="90" t="s">
        <v>349</v>
      </c>
      <c r="B458" s="89" t="s">
        <v>3296</v>
      </c>
      <c r="C458" s="102" t="s">
        <v>1203</v>
      </c>
    </row>
    <row r="459" spans="1:3" ht="15">
      <c r="A459" s="90" t="s">
        <v>349</v>
      </c>
      <c r="B459" s="89" t="s">
        <v>2818</v>
      </c>
      <c r="C459" s="102" t="s">
        <v>1203</v>
      </c>
    </row>
    <row r="460" spans="1:3" ht="15">
      <c r="A460" s="90" t="s">
        <v>349</v>
      </c>
      <c r="B460" s="89" t="s">
        <v>2819</v>
      </c>
      <c r="C460" s="102" t="s">
        <v>1203</v>
      </c>
    </row>
    <row r="461" spans="1:3" ht="15">
      <c r="A461" s="90" t="s">
        <v>349</v>
      </c>
      <c r="B461" s="89" t="s">
        <v>3259</v>
      </c>
      <c r="C461" s="102" t="s">
        <v>1203</v>
      </c>
    </row>
    <row r="462" spans="1:3" ht="15">
      <c r="A462" s="90" t="s">
        <v>349</v>
      </c>
      <c r="B462" s="89" t="s">
        <v>2820</v>
      </c>
      <c r="C462" s="102" t="s">
        <v>1203</v>
      </c>
    </row>
    <row r="463" spans="1:3" ht="15">
      <c r="A463" s="90" t="s">
        <v>349</v>
      </c>
      <c r="B463" s="89" t="s">
        <v>3297</v>
      </c>
      <c r="C463" s="102" t="s">
        <v>1203</v>
      </c>
    </row>
    <row r="464" spans="1:3" ht="15">
      <c r="A464" s="90" t="s">
        <v>349</v>
      </c>
      <c r="B464" s="89" t="s">
        <v>2821</v>
      </c>
      <c r="C464" s="102" t="s">
        <v>1203</v>
      </c>
    </row>
    <row r="465" spans="1:3" ht="15">
      <c r="A465" s="90" t="s">
        <v>349</v>
      </c>
      <c r="B465" s="89" t="s">
        <v>2822</v>
      </c>
      <c r="C465" s="102" t="s">
        <v>1203</v>
      </c>
    </row>
    <row r="466" spans="1:3" ht="15">
      <c r="A466" s="90" t="s">
        <v>349</v>
      </c>
      <c r="B466" s="89" t="s">
        <v>3298</v>
      </c>
      <c r="C466" s="102" t="s">
        <v>1203</v>
      </c>
    </row>
    <row r="467" spans="1:3" ht="15">
      <c r="A467" s="90" t="s">
        <v>349</v>
      </c>
      <c r="B467" s="89" t="s">
        <v>2823</v>
      </c>
      <c r="C467" s="102" t="s">
        <v>1203</v>
      </c>
    </row>
    <row r="468" spans="1:3" ht="15">
      <c r="A468" s="90" t="s">
        <v>349</v>
      </c>
      <c r="B468" s="89" t="s">
        <v>3299</v>
      </c>
      <c r="C468" s="102" t="s">
        <v>1203</v>
      </c>
    </row>
    <row r="469" spans="1:3" ht="15">
      <c r="A469" s="90" t="s">
        <v>349</v>
      </c>
      <c r="B469" s="89" t="s">
        <v>2824</v>
      </c>
      <c r="C469" s="102" t="s">
        <v>1203</v>
      </c>
    </row>
    <row r="470" spans="1:3" ht="15">
      <c r="A470" s="90" t="s">
        <v>349</v>
      </c>
      <c r="B470" s="89" t="s">
        <v>2825</v>
      </c>
      <c r="C470" s="102" t="s">
        <v>1203</v>
      </c>
    </row>
    <row r="471" spans="1:3" ht="15">
      <c r="A471" s="90" t="s">
        <v>349</v>
      </c>
      <c r="B471" s="89" t="s">
        <v>3300</v>
      </c>
      <c r="C471" s="102" t="s">
        <v>1203</v>
      </c>
    </row>
    <row r="472" spans="1:3" ht="15">
      <c r="A472" s="90" t="s">
        <v>349</v>
      </c>
      <c r="B472" s="89" t="s">
        <v>2768</v>
      </c>
      <c r="C472" s="102" t="s">
        <v>1203</v>
      </c>
    </row>
    <row r="473" spans="1:3" ht="15">
      <c r="A473" s="90" t="s">
        <v>349</v>
      </c>
      <c r="B473" s="89" t="s">
        <v>2826</v>
      </c>
      <c r="C473" s="102" t="s">
        <v>1203</v>
      </c>
    </row>
    <row r="474" spans="1:3" ht="15">
      <c r="A474" s="90" t="s">
        <v>349</v>
      </c>
      <c r="B474" s="89" t="s">
        <v>3301</v>
      </c>
      <c r="C474" s="102" t="s">
        <v>1203</v>
      </c>
    </row>
    <row r="475" spans="1:3" ht="15">
      <c r="A475" s="90" t="s">
        <v>349</v>
      </c>
      <c r="B475" s="89" t="s">
        <v>3302</v>
      </c>
      <c r="C475" s="102" t="s">
        <v>1203</v>
      </c>
    </row>
    <row r="476" spans="1:3" ht="15">
      <c r="A476" s="90" t="s">
        <v>349</v>
      </c>
      <c r="B476" s="89" t="s">
        <v>2827</v>
      </c>
      <c r="C476" s="102" t="s">
        <v>1203</v>
      </c>
    </row>
    <row r="477" spans="1:3" ht="15">
      <c r="A477" s="90" t="s">
        <v>349</v>
      </c>
      <c r="B477" s="89" t="s">
        <v>3141</v>
      </c>
      <c r="C477" s="102" t="s">
        <v>1203</v>
      </c>
    </row>
    <row r="478" spans="1:3" ht="15">
      <c r="A478" s="90" t="s">
        <v>349</v>
      </c>
      <c r="B478" s="89" t="s">
        <v>3303</v>
      </c>
      <c r="C478" s="102" t="s">
        <v>1203</v>
      </c>
    </row>
    <row r="479" spans="1:3" ht="15">
      <c r="A479" s="90" t="s">
        <v>349</v>
      </c>
      <c r="B479" s="89" t="s">
        <v>2677</v>
      </c>
      <c r="C479" s="102" t="s">
        <v>1203</v>
      </c>
    </row>
    <row r="480" spans="1:3" ht="15">
      <c r="A480" s="90" t="s">
        <v>349</v>
      </c>
      <c r="B480" s="89" t="s">
        <v>2828</v>
      </c>
      <c r="C480" s="102" t="s">
        <v>1203</v>
      </c>
    </row>
    <row r="481" spans="1:3" ht="15">
      <c r="A481" s="90" t="s">
        <v>349</v>
      </c>
      <c r="B481" s="89" t="s">
        <v>2680</v>
      </c>
      <c r="C481" s="102" t="s">
        <v>1203</v>
      </c>
    </row>
    <row r="482" spans="1:3" ht="15">
      <c r="A482" s="90" t="s">
        <v>349</v>
      </c>
      <c r="B482" s="89" t="s">
        <v>2769</v>
      </c>
      <c r="C482" s="102" t="s">
        <v>1203</v>
      </c>
    </row>
    <row r="483" spans="1:3" ht="15">
      <c r="A483" s="90" t="s">
        <v>349</v>
      </c>
      <c r="B483" s="89" t="s">
        <v>2829</v>
      </c>
      <c r="C483" s="102" t="s">
        <v>1203</v>
      </c>
    </row>
    <row r="484" spans="1:3" ht="15">
      <c r="A484" s="90" t="s">
        <v>349</v>
      </c>
      <c r="B484" s="89" t="s">
        <v>3137</v>
      </c>
      <c r="C484" s="102" t="s">
        <v>1203</v>
      </c>
    </row>
    <row r="485" spans="1:3" ht="15">
      <c r="A485" s="90" t="s">
        <v>349</v>
      </c>
      <c r="B485" s="89" t="s">
        <v>2830</v>
      </c>
      <c r="C485" s="102" t="s">
        <v>1203</v>
      </c>
    </row>
    <row r="486" spans="1:3" ht="15">
      <c r="A486" s="90" t="s">
        <v>349</v>
      </c>
      <c r="B486" s="89" t="s">
        <v>3304</v>
      </c>
      <c r="C486" s="102" t="s">
        <v>1203</v>
      </c>
    </row>
    <row r="487" spans="1:3" ht="15">
      <c r="A487" s="90" t="s">
        <v>349</v>
      </c>
      <c r="B487" s="89" t="s">
        <v>3305</v>
      </c>
      <c r="C487" s="102" t="s">
        <v>1203</v>
      </c>
    </row>
    <row r="488" spans="1:3" ht="15">
      <c r="A488" s="90" t="s">
        <v>349</v>
      </c>
      <c r="B488" s="89" t="s">
        <v>3306</v>
      </c>
      <c r="C488" s="102" t="s">
        <v>1203</v>
      </c>
    </row>
    <row r="489" spans="1:3" ht="15">
      <c r="A489" s="90" t="s">
        <v>349</v>
      </c>
      <c r="B489" s="89" t="s">
        <v>2831</v>
      </c>
      <c r="C489" s="102" t="s">
        <v>1203</v>
      </c>
    </row>
    <row r="490" spans="1:3" ht="15">
      <c r="A490" s="90" t="s">
        <v>349</v>
      </c>
      <c r="B490" s="89" t="s">
        <v>712</v>
      </c>
      <c r="C490" s="102" t="s">
        <v>1203</v>
      </c>
    </row>
    <row r="491" spans="1:3" ht="15">
      <c r="A491" s="90" t="s">
        <v>355</v>
      </c>
      <c r="B491" s="89" t="s">
        <v>3274</v>
      </c>
      <c r="C491" s="102" t="s">
        <v>1170</v>
      </c>
    </row>
    <row r="492" spans="1:3" ht="15">
      <c r="A492" s="90" t="s">
        <v>355</v>
      </c>
      <c r="B492" s="89" t="s">
        <v>3189</v>
      </c>
      <c r="C492" s="102" t="s">
        <v>1170</v>
      </c>
    </row>
    <row r="493" spans="1:3" ht="15">
      <c r="A493" s="90" t="s">
        <v>355</v>
      </c>
      <c r="B493" s="89" t="s">
        <v>3295</v>
      </c>
      <c r="C493" s="102" t="s">
        <v>1170</v>
      </c>
    </row>
    <row r="494" spans="1:3" ht="15">
      <c r="A494" s="90" t="s">
        <v>355</v>
      </c>
      <c r="B494" s="89" t="s">
        <v>3195</v>
      </c>
      <c r="C494" s="102" t="s">
        <v>1170</v>
      </c>
    </row>
    <row r="495" spans="1:3" ht="15">
      <c r="A495" s="90" t="s">
        <v>355</v>
      </c>
      <c r="B495" s="89" t="s">
        <v>3296</v>
      </c>
      <c r="C495" s="102" t="s">
        <v>1170</v>
      </c>
    </row>
    <row r="496" spans="1:3" ht="15">
      <c r="A496" s="90" t="s">
        <v>355</v>
      </c>
      <c r="B496" s="89" t="s">
        <v>2818</v>
      </c>
      <c r="C496" s="102" t="s">
        <v>1170</v>
      </c>
    </row>
    <row r="497" spans="1:3" ht="15">
      <c r="A497" s="90" t="s">
        <v>355</v>
      </c>
      <c r="B497" s="89" t="s">
        <v>2819</v>
      </c>
      <c r="C497" s="102" t="s">
        <v>1170</v>
      </c>
    </row>
    <row r="498" spans="1:3" ht="15">
      <c r="A498" s="90" t="s">
        <v>355</v>
      </c>
      <c r="B498" s="89" t="s">
        <v>3259</v>
      </c>
      <c r="C498" s="102" t="s">
        <v>1170</v>
      </c>
    </row>
    <row r="499" spans="1:3" ht="15">
      <c r="A499" s="90" t="s">
        <v>355</v>
      </c>
      <c r="B499" s="89" t="s">
        <v>2820</v>
      </c>
      <c r="C499" s="102" t="s">
        <v>1170</v>
      </c>
    </row>
    <row r="500" spans="1:3" ht="15">
      <c r="A500" s="90" t="s">
        <v>355</v>
      </c>
      <c r="B500" s="89" t="s">
        <v>3297</v>
      </c>
      <c r="C500" s="102" t="s">
        <v>1170</v>
      </c>
    </row>
    <row r="501" spans="1:3" ht="15">
      <c r="A501" s="90" t="s">
        <v>355</v>
      </c>
      <c r="B501" s="89" t="s">
        <v>2821</v>
      </c>
      <c r="C501" s="102" t="s">
        <v>1170</v>
      </c>
    </row>
    <row r="502" spans="1:3" ht="15">
      <c r="A502" s="90" t="s">
        <v>355</v>
      </c>
      <c r="B502" s="89" t="s">
        <v>2822</v>
      </c>
      <c r="C502" s="102" t="s">
        <v>1170</v>
      </c>
    </row>
    <row r="503" spans="1:3" ht="15">
      <c r="A503" s="90" t="s">
        <v>355</v>
      </c>
      <c r="B503" s="89" t="s">
        <v>3298</v>
      </c>
      <c r="C503" s="102" t="s">
        <v>1170</v>
      </c>
    </row>
    <row r="504" spans="1:3" ht="15">
      <c r="A504" s="90" t="s">
        <v>355</v>
      </c>
      <c r="B504" s="89" t="s">
        <v>2823</v>
      </c>
      <c r="C504" s="102" t="s">
        <v>1170</v>
      </c>
    </row>
    <row r="505" spans="1:3" ht="15">
      <c r="A505" s="90" t="s">
        <v>355</v>
      </c>
      <c r="B505" s="89" t="s">
        <v>3299</v>
      </c>
      <c r="C505" s="102" t="s">
        <v>1170</v>
      </c>
    </row>
    <row r="506" spans="1:3" ht="15">
      <c r="A506" s="90" t="s">
        <v>355</v>
      </c>
      <c r="B506" s="89" t="s">
        <v>2824</v>
      </c>
      <c r="C506" s="102" t="s">
        <v>1170</v>
      </c>
    </row>
    <row r="507" spans="1:3" ht="15">
      <c r="A507" s="90" t="s">
        <v>355</v>
      </c>
      <c r="B507" s="89" t="s">
        <v>2825</v>
      </c>
      <c r="C507" s="102" t="s">
        <v>1170</v>
      </c>
    </row>
    <row r="508" spans="1:3" ht="15">
      <c r="A508" s="90" t="s">
        <v>355</v>
      </c>
      <c r="B508" s="89" t="s">
        <v>3300</v>
      </c>
      <c r="C508" s="102" t="s">
        <v>1170</v>
      </c>
    </row>
    <row r="509" spans="1:3" ht="15">
      <c r="A509" s="90" t="s">
        <v>355</v>
      </c>
      <c r="B509" s="89" t="s">
        <v>2768</v>
      </c>
      <c r="C509" s="102" t="s">
        <v>1170</v>
      </c>
    </row>
    <row r="510" spans="1:3" ht="15">
      <c r="A510" s="90" t="s">
        <v>355</v>
      </c>
      <c r="B510" s="89" t="s">
        <v>2826</v>
      </c>
      <c r="C510" s="102" t="s">
        <v>1170</v>
      </c>
    </row>
    <row r="511" spans="1:3" ht="15">
      <c r="A511" s="90" t="s">
        <v>355</v>
      </c>
      <c r="B511" s="89" t="s">
        <v>3301</v>
      </c>
      <c r="C511" s="102" t="s">
        <v>1170</v>
      </c>
    </row>
    <row r="512" spans="1:3" ht="15">
      <c r="A512" s="90" t="s">
        <v>355</v>
      </c>
      <c r="B512" s="89" t="s">
        <v>3302</v>
      </c>
      <c r="C512" s="102" t="s">
        <v>1170</v>
      </c>
    </row>
    <row r="513" spans="1:3" ht="15">
      <c r="A513" s="90" t="s">
        <v>355</v>
      </c>
      <c r="B513" s="89" t="s">
        <v>2827</v>
      </c>
      <c r="C513" s="102" t="s">
        <v>1170</v>
      </c>
    </row>
    <row r="514" spans="1:3" ht="15">
      <c r="A514" s="90" t="s">
        <v>355</v>
      </c>
      <c r="B514" s="89" t="s">
        <v>3141</v>
      </c>
      <c r="C514" s="102" t="s">
        <v>1170</v>
      </c>
    </row>
    <row r="515" spans="1:3" ht="15">
      <c r="A515" s="90" t="s">
        <v>355</v>
      </c>
      <c r="B515" s="89" t="s">
        <v>3303</v>
      </c>
      <c r="C515" s="102" t="s">
        <v>1170</v>
      </c>
    </row>
    <row r="516" spans="1:3" ht="15">
      <c r="A516" s="90" t="s">
        <v>355</v>
      </c>
      <c r="B516" s="89" t="s">
        <v>2677</v>
      </c>
      <c r="C516" s="102" t="s">
        <v>1170</v>
      </c>
    </row>
    <row r="517" spans="1:3" ht="15">
      <c r="A517" s="90" t="s">
        <v>355</v>
      </c>
      <c r="B517" s="89" t="s">
        <v>2828</v>
      </c>
      <c r="C517" s="102" t="s">
        <v>1170</v>
      </c>
    </row>
    <row r="518" spans="1:3" ht="15">
      <c r="A518" s="90" t="s">
        <v>355</v>
      </c>
      <c r="B518" s="89" t="s">
        <v>2680</v>
      </c>
      <c r="C518" s="102" t="s">
        <v>1170</v>
      </c>
    </row>
    <row r="519" spans="1:3" ht="15">
      <c r="A519" s="90" t="s">
        <v>355</v>
      </c>
      <c r="B519" s="89" t="s">
        <v>2769</v>
      </c>
      <c r="C519" s="102" t="s">
        <v>1170</v>
      </c>
    </row>
    <row r="520" spans="1:3" ht="15">
      <c r="A520" s="90" t="s">
        <v>355</v>
      </c>
      <c r="B520" s="89" t="s">
        <v>2829</v>
      </c>
      <c r="C520" s="102" t="s">
        <v>1170</v>
      </c>
    </row>
    <row r="521" spans="1:3" ht="15">
      <c r="A521" s="90" t="s">
        <v>355</v>
      </c>
      <c r="B521" s="89" t="s">
        <v>3137</v>
      </c>
      <c r="C521" s="102" t="s">
        <v>1170</v>
      </c>
    </row>
    <row r="522" spans="1:3" ht="15">
      <c r="A522" s="90" t="s">
        <v>355</v>
      </c>
      <c r="B522" s="89" t="s">
        <v>2830</v>
      </c>
      <c r="C522" s="102" t="s">
        <v>1170</v>
      </c>
    </row>
    <row r="523" spans="1:3" ht="15">
      <c r="A523" s="90" t="s">
        <v>355</v>
      </c>
      <c r="B523" s="89" t="s">
        <v>3304</v>
      </c>
      <c r="C523" s="102" t="s">
        <v>1170</v>
      </c>
    </row>
    <row r="524" spans="1:3" ht="15">
      <c r="A524" s="90" t="s">
        <v>355</v>
      </c>
      <c r="B524" s="89" t="s">
        <v>3305</v>
      </c>
      <c r="C524" s="102" t="s">
        <v>1170</v>
      </c>
    </row>
    <row r="525" spans="1:3" ht="15">
      <c r="A525" s="90" t="s">
        <v>355</v>
      </c>
      <c r="B525" s="89" t="s">
        <v>3306</v>
      </c>
      <c r="C525" s="102" t="s">
        <v>1170</v>
      </c>
    </row>
    <row r="526" spans="1:3" ht="15">
      <c r="A526" s="90" t="s">
        <v>355</v>
      </c>
      <c r="B526" s="89" t="s">
        <v>2831</v>
      </c>
      <c r="C526" s="102" t="s">
        <v>1170</v>
      </c>
    </row>
    <row r="527" spans="1:3" ht="15">
      <c r="A527" s="90" t="s">
        <v>355</v>
      </c>
      <c r="B527" s="89" t="s">
        <v>712</v>
      </c>
      <c r="C527" s="102" t="s">
        <v>1170</v>
      </c>
    </row>
    <row r="528" spans="1:3" ht="15">
      <c r="A528" s="90" t="s">
        <v>354</v>
      </c>
      <c r="B528" s="89" t="s">
        <v>3204</v>
      </c>
      <c r="C528" s="102" t="s">
        <v>1169</v>
      </c>
    </row>
    <row r="529" spans="1:3" ht="15">
      <c r="A529" s="90" t="s">
        <v>354</v>
      </c>
      <c r="B529" s="89" t="s">
        <v>2661</v>
      </c>
      <c r="C529" s="102" t="s">
        <v>1169</v>
      </c>
    </row>
    <row r="530" spans="1:3" ht="15">
      <c r="A530" s="90" t="s">
        <v>354</v>
      </c>
      <c r="B530" s="89" t="s">
        <v>3205</v>
      </c>
      <c r="C530" s="102" t="s">
        <v>1169</v>
      </c>
    </row>
    <row r="531" spans="1:3" ht="15">
      <c r="A531" s="90" t="s">
        <v>354</v>
      </c>
      <c r="B531" s="89" t="s">
        <v>3206</v>
      </c>
      <c r="C531" s="102" t="s">
        <v>1169</v>
      </c>
    </row>
    <row r="532" spans="1:3" ht="15">
      <c r="A532" s="90" t="s">
        <v>354</v>
      </c>
      <c r="B532" s="89" t="s">
        <v>3207</v>
      </c>
      <c r="C532" s="102" t="s">
        <v>1169</v>
      </c>
    </row>
    <row r="533" spans="1:3" ht="15">
      <c r="A533" s="90" t="s">
        <v>354</v>
      </c>
      <c r="B533" s="89" t="s">
        <v>2683</v>
      </c>
      <c r="C533" s="102" t="s">
        <v>1169</v>
      </c>
    </row>
    <row r="534" spans="1:3" ht="15">
      <c r="A534" s="90" t="s">
        <v>353</v>
      </c>
      <c r="B534" s="89" t="s">
        <v>3204</v>
      </c>
      <c r="C534" s="102" t="s">
        <v>1168</v>
      </c>
    </row>
    <row r="535" spans="1:3" ht="15">
      <c r="A535" s="90" t="s">
        <v>353</v>
      </c>
      <c r="B535" s="89" t="s">
        <v>2661</v>
      </c>
      <c r="C535" s="102" t="s">
        <v>1168</v>
      </c>
    </row>
    <row r="536" spans="1:3" ht="15">
      <c r="A536" s="90" t="s">
        <v>353</v>
      </c>
      <c r="B536" s="89" t="s">
        <v>3205</v>
      </c>
      <c r="C536" s="102" t="s">
        <v>1168</v>
      </c>
    </row>
    <row r="537" spans="1:3" ht="15">
      <c r="A537" s="90" t="s">
        <v>353</v>
      </c>
      <c r="B537" s="89" t="s">
        <v>3206</v>
      </c>
      <c r="C537" s="102" t="s">
        <v>1168</v>
      </c>
    </row>
    <row r="538" spans="1:3" ht="15">
      <c r="A538" s="90" t="s">
        <v>353</v>
      </c>
      <c r="B538" s="89" t="s">
        <v>3207</v>
      </c>
      <c r="C538" s="102" t="s">
        <v>1168</v>
      </c>
    </row>
    <row r="539" spans="1:3" ht="15">
      <c r="A539" s="90" t="s">
        <v>353</v>
      </c>
      <c r="B539" s="89" t="s">
        <v>2683</v>
      </c>
      <c r="C539" s="102" t="s">
        <v>1168</v>
      </c>
    </row>
    <row r="540" spans="1:3" ht="15">
      <c r="A540" s="90" t="s">
        <v>353</v>
      </c>
      <c r="B540" s="89" t="s">
        <v>3307</v>
      </c>
      <c r="C540" s="102" t="s">
        <v>1167</v>
      </c>
    </row>
    <row r="541" spans="1:3" ht="15">
      <c r="A541" s="90" t="s">
        <v>353</v>
      </c>
      <c r="B541" s="89" t="s">
        <v>3152</v>
      </c>
      <c r="C541" s="102" t="s">
        <v>1167</v>
      </c>
    </row>
    <row r="542" spans="1:3" ht="15">
      <c r="A542" s="90" t="s">
        <v>353</v>
      </c>
      <c r="B542" s="89" t="s">
        <v>3141</v>
      </c>
      <c r="C542" s="102" t="s">
        <v>1167</v>
      </c>
    </row>
    <row r="543" spans="1:3" ht="15">
      <c r="A543" s="90" t="s">
        <v>353</v>
      </c>
      <c r="B543" s="89" t="s">
        <v>2678</v>
      </c>
      <c r="C543" s="102" t="s">
        <v>1167</v>
      </c>
    </row>
    <row r="544" spans="1:3" ht="15">
      <c r="A544" s="90" t="s">
        <v>353</v>
      </c>
      <c r="B544" s="89" t="s">
        <v>2676</v>
      </c>
      <c r="C544" s="102" t="s">
        <v>1167</v>
      </c>
    </row>
    <row r="545" spans="1:3" ht="15">
      <c r="A545" s="90" t="s">
        <v>353</v>
      </c>
      <c r="B545" s="89" t="s">
        <v>3308</v>
      </c>
      <c r="C545" s="102" t="s">
        <v>1167</v>
      </c>
    </row>
    <row r="546" spans="1:3" ht="15">
      <c r="A546" s="90" t="s">
        <v>353</v>
      </c>
      <c r="B546" s="89" t="s">
        <v>3205</v>
      </c>
      <c r="C546" s="102" t="s">
        <v>1167</v>
      </c>
    </row>
    <row r="547" spans="1:3" ht="15">
      <c r="A547" s="90" t="s">
        <v>353</v>
      </c>
      <c r="B547" s="89" t="s">
        <v>3155</v>
      </c>
      <c r="C547" s="102" t="s">
        <v>1167</v>
      </c>
    </row>
    <row r="548" spans="1:3" ht="15">
      <c r="A548" s="90" t="s">
        <v>353</v>
      </c>
      <c r="B548" s="89" t="s">
        <v>3309</v>
      </c>
      <c r="C548" s="102" t="s">
        <v>1167</v>
      </c>
    </row>
    <row r="549" spans="1:3" ht="15">
      <c r="A549" s="90" t="s">
        <v>353</v>
      </c>
      <c r="B549" s="89" t="s">
        <v>2679</v>
      </c>
      <c r="C549" s="102" t="s">
        <v>1167</v>
      </c>
    </row>
    <row r="550" spans="1:3" ht="15">
      <c r="A550" s="90" t="s">
        <v>353</v>
      </c>
      <c r="B550" s="89" t="s">
        <v>712</v>
      </c>
      <c r="C550" s="102" t="s">
        <v>1167</v>
      </c>
    </row>
    <row r="551" spans="1:3" ht="15">
      <c r="A551" s="90" t="s">
        <v>353</v>
      </c>
      <c r="B551" s="89" t="s">
        <v>431</v>
      </c>
      <c r="C551" s="102" t="s">
        <v>1167</v>
      </c>
    </row>
    <row r="552" spans="1:3" ht="15">
      <c r="A552" s="90" t="s">
        <v>353</v>
      </c>
      <c r="B552" s="89" t="s">
        <v>3310</v>
      </c>
      <c r="C552" s="102" t="s">
        <v>1167</v>
      </c>
    </row>
    <row r="553" spans="1:3" ht="15">
      <c r="A553" s="90" t="s">
        <v>353</v>
      </c>
      <c r="B553" s="89" t="s">
        <v>368</v>
      </c>
      <c r="C553" s="102" t="s">
        <v>1165</v>
      </c>
    </row>
    <row r="554" spans="1:3" ht="15">
      <c r="A554" s="90" t="s">
        <v>353</v>
      </c>
      <c r="B554" s="89" t="s">
        <v>352</v>
      </c>
      <c r="C554" s="102" t="s">
        <v>1165</v>
      </c>
    </row>
    <row r="555" spans="1:3" ht="15">
      <c r="A555" s="90" t="s">
        <v>353</v>
      </c>
      <c r="B555" s="89" t="s">
        <v>431</v>
      </c>
      <c r="C555" s="102" t="s">
        <v>1165</v>
      </c>
    </row>
    <row r="556" spans="1:3" ht="15">
      <c r="A556" s="90" t="s">
        <v>353</v>
      </c>
      <c r="B556" s="89" t="s">
        <v>3310</v>
      </c>
      <c r="C556" s="102" t="s">
        <v>1165</v>
      </c>
    </row>
    <row r="557" spans="1:3" ht="15">
      <c r="A557" s="90" t="s">
        <v>353</v>
      </c>
      <c r="B557" s="89" t="s">
        <v>3204</v>
      </c>
      <c r="C557" s="102" t="s">
        <v>1165</v>
      </c>
    </row>
    <row r="558" spans="1:3" ht="15">
      <c r="A558" s="90" t="s">
        <v>353</v>
      </c>
      <c r="B558" s="89" t="s">
        <v>3301</v>
      </c>
      <c r="C558" s="102" t="s">
        <v>1165</v>
      </c>
    </row>
    <row r="559" spans="1:3" ht="15">
      <c r="A559" s="90" t="s">
        <v>353</v>
      </c>
      <c r="B559" s="89" t="s">
        <v>3201</v>
      </c>
      <c r="C559" s="102" t="s">
        <v>1165</v>
      </c>
    </row>
    <row r="560" spans="1:3" ht="15">
      <c r="A560" s="90" t="s">
        <v>353</v>
      </c>
      <c r="B560" s="89" t="s">
        <v>3358</v>
      </c>
      <c r="C560" s="102" t="s">
        <v>1165</v>
      </c>
    </row>
    <row r="561" spans="1:3" ht="15">
      <c r="A561" s="90" t="s">
        <v>353</v>
      </c>
      <c r="B561" s="89" t="s">
        <v>3141</v>
      </c>
      <c r="C561" s="102" t="s">
        <v>1165</v>
      </c>
    </row>
    <row r="562" spans="1:3" ht="15">
      <c r="A562" s="90" t="s">
        <v>353</v>
      </c>
      <c r="B562" s="89" t="s">
        <v>3359</v>
      </c>
      <c r="C562" s="102" t="s">
        <v>1165</v>
      </c>
    </row>
    <row r="563" spans="1:3" ht="15">
      <c r="A563" s="90" t="s">
        <v>353</v>
      </c>
      <c r="B563" s="89" t="s">
        <v>3360</v>
      </c>
      <c r="C563" s="102" t="s">
        <v>1165</v>
      </c>
    </row>
    <row r="564" spans="1:3" ht="15">
      <c r="A564" s="90" t="s">
        <v>353</v>
      </c>
      <c r="B564" s="89" t="s">
        <v>3361</v>
      </c>
      <c r="C564" s="102" t="s">
        <v>1165</v>
      </c>
    </row>
    <row r="565" spans="1:3" ht="15">
      <c r="A565" s="90" t="s">
        <v>353</v>
      </c>
      <c r="B565" s="89" t="s">
        <v>2835</v>
      </c>
      <c r="C565" s="102" t="s">
        <v>1165</v>
      </c>
    </row>
    <row r="566" spans="1:3" ht="15">
      <c r="A566" s="90" t="s">
        <v>353</v>
      </c>
      <c r="B566" s="89" t="s">
        <v>3170</v>
      </c>
      <c r="C566" s="102" t="s">
        <v>1165</v>
      </c>
    </row>
    <row r="567" spans="1:3" ht="15">
      <c r="A567" s="90" t="s">
        <v>353</v>
      </c>
      <c r="B567" s="89" t="s">
        <v>3362</v>
      </c>
      <c r="C567" s="102" t="s">
        <v>1165</v>
      </c>
    </row>
    <row r="568" spans="1:3" ht="15">
      <c r="A568" s="90" t="s">
        <v>353</v>
      </c>
      <c r="B568" s="89" t="s">
        <v>3363</v>
      </c>
      <c r="C568" s="102" t="s">
        <v>1165</v>
      </c>
    </row>
    <row r="569" spans="1:3" ht="15">
      <c r="A569" s="90" t="s">
        <v>353</v>
      </c>
      <c r="B569" s="89" t="s">
        <v>3364</v>
      </c>
      <c r="C569" s="102" t="s">
        <v>1165</v>
      </c>
    </row>
    <row r="570" spans="1:3" ht="15">
      <c r="A570" s="90" t="s">
        <v>353</v>
      </c>
      <c r="B570" s="89" t="s">
        <v>3365</v>
      </c>
      <c r="C570" s="102" t="s">
        <v>1165</v>
      </c>
    </row>
    <row r="571" spans="1:3" ht="15">
      <c r="A571" s="90" t="s">
        <v>353</v>
      </c>
      <c r="B571" s="89" t="s">
        <v>3366</v>
      </c>
      <c r="C571" s="102" t="s">
        <v>1165</v>
      </c>
    </row>
    <row r="572" spans="1:3" ht="15">
      <c r="A572" s="90" t="s">
        <v>353</v>
      </c>
      <c r="B572" s="89" t="s">
        <v>3367</v>
      </c>
      <c r="C572" s="102" t="s">
        <v>1166</v>
      </c>
    </row>
    <row r="573" spans="1:3" ht="15">
      <c r="A573" s="90" t="s">
        <v>353</v>
      </c>
      <c r="B573" s="89" t="s">
        <v>3204</v>
      </c>
      <c r="C573" s="102" t="s">
        <v>1166</v>
      </c>
    </row>
    <row r="574" spans="1:3" ht="15">
      <c r="A574" s="90" t="s">
        <v>353</v>
      </c>
      <c r="B574" s="89" t="s">
        <v>3141</v>
      </c>
      <c r="C574" s="102" t="s">
        <v>1166</v>
      </c>
    </row>
    <row r="575" spans="1:3" ht="15">
      <c r="A575" s="90" t="s">
        <v>353</v>
      </c>
      <c r="B575" s="89" t="s">
        <v>2735</v>
      </c>
      <c r="C575" s="102" t="s">
        <v>1166</v>
      </c>
    </row>
    <row r="576" spans="1:3" ht="15">
      <c r="A576" s="90" t="s">
        <v>353</v>
      </c>
      <c r="B576" s="89" t="s">
        <v>2736</v>
      </c>
      <c r="C576" s="102" t="s">
        <v>1166</v>
      </c>
    </row>
    <row r="577" spans="1:3" ht="15">
      <c r="A577" s="90" t="s">
        <v>353</v>
      </c>
      <c r="B577" s="89" t="s">
        <v>3196</v>
      </c>
      <c r="C577" s="102" t="s">
        <v>1166</v>
      </c>
    </row>
    <row r="578" spans="1:3" ht="15">
      <c r="A578" s="90" t="s">
        <v>353</v>
      </c>
      <c r="B578" s="89" t="s">
        <v>3192</v>
      </c>
      <c r="C578" s="102" t="s">
        <v>1166</v>
      </c>
    </row>
    <row r="579" spans="1:3" ht="15">
      <c r="A579" s="90" t="s">
        <v>353</v>
      </c>
      <c r="B579" s="89" t="s">
        <v>2770</v>
      </c>
      <c r="C579" s="102" t="s">
        <v>1166</v>
      </c>
    </row>
    <row r="580" spans="1:3" ht="15">
      <c r="A580" s="90" t="s">
        <v>353</v>
      </c>
      <c r="B580" s="89" t="s">
        <v>3137</v>
      </c>
      <c r="C580" s="102" t="s">
        <v>1166</v>
      </c>
    </row>
    <row r="581" spans="1:3" ht="15">
      <c r="A581" s="90" t="s">
        <v>353</v>
      </c>
      <c r="B581" s="89" t="s">
        <v>3155</v>
      </c>
      <c r="C581" s="102" t="s">
        <v>1166</v>
      </c>
    </row>
    <row r="582" spans="1:3" ht="15">
      <c r="A582" s="90" t="s">
        <v>353</v>
      </c>
      <c r="B582" s="89" t="s">
        <v>2771</v>
      </c>
      <c r="C582" s="102" t="s">
        <v>1166</v>
      </c>
    </row>
    <row r="583" spans="1:3" ht="15">
      <c r="A583" s="90" t="s">
        <v>353</v>
      </c>
      <c r="B583" s="89" t="s">
        <v>2747</v>
      </c>
      <c r="C583" s="102" t="s">
        <v>1166</v>
      </c>
    </row>
    <row r="584" spans="1:3" ht="15">
      <c r="A584" s="90" t="s">
        <v>353</v>
      </c>
      <c r="B584" s="89" t="s">
        <v>2772</v>
      </c>
      <c r="C584" s="102" t="s">
        <v>1166</v>
      </c>
    </row>
    <row r="585" spans="1:3" ht="15">
      <c r="A585" s="90" t="s">
        <v>353</v>
      </c>
      <c r="B585" s="89" t="s">
        <v>3170</v>
      </c>
      <c r="C585" s="102" t="s">
        <v>1166</v>
      </c>
    </row>
    <row r="586" spans="1:3" ht="15">
      <c r="A586" s="90" t="s">
        <v>353</v>
      </c>
      <c r="B586" s="89" t="s">
        <v>3289</v>
      </c>
      <c r="C586" s="102" t="s">
        <v>1166</v>
      </c>
    </row>
    <row r="587" spans="1:3" ht="15">
      <c r="A587" s="90" t="s">
        <v>353</v>
      </c>
      <c r="B587" s="89" t="s">
        <v>2773</v>
      </c>
      <c r="C587" s="102" t="s">
        <v>1166</v>
      </c>
    </row>
    <row r="588" spans="1:3" ht="15">
      <c r="A588" s="90" t="s">
        <v>353</v>
      </c>
      <c r="B588" s="89" t="s">
        <v>3368</v>
      </c>
      <c r="C588" s="102" t="s">
        <v>1166</v>
      </c>
    </row>
    <row r="589" spans="1:3" ht="15">
      <c r="A589" s="90" t="s">
        <v>353</v>
      </c>
      <c r="B589" s="89" t="s">
        <v>3369</v>
      </c>
      <c r="C589" s="102" t="s">
        <v>1166</v>
      </c>
    </row>
    <row r="590" spans="1:3" ht="15">
      <c r="A590" s="90" t="s">
        <v>353</v>
      </c>
      <c r="B590" s="89" t="s">
        <v>2774</v>
      </c>
      <c r="C590" s="102" t="s">
        <v>1166</v>
      </c>
    </row>
    <row r="591" spans="1:3" ht="15">
      <c r="A591" s="90" t="s">
        <v>353</v>
      </c>
      <c r="B591" s="89" t="s">
        <v>2775</v>
      </c>
      <c r="C591" s="102" t="s">
        <v>1166</v>
      </c>
    </row>
    <row r="592" spans="1:3" ht="15">
      <c r="A592" s="90" t="s">
        <v>353</v>
      </c>
      <c r="B592" s="89" t="s">
        <v>3370</v>
      </c>
      <c r="C592" s="102" t="s">
        <v>1166</v>
      </c>
    </row>
    <row r="593" spans="1:3" ht="15">
      <c r="A593" s="90" t="s">
        <v>353</v>
      </c>
      <c r="B593" s="89" t="s">
        <v>3278</v>
      </c>
      <c r="C593" s="102" t="s">
        <v>1166</v>
      </c>
    </row>
    <row r="594" spans="1:3" ht="15">
      <c r="A594" s="90" t="s">
        <v>353</v>
      </c>
      <c r="B594" s="89" t="s">
        <v>1621</v>
      </c>
      <c r="C594" s="102" t="s">
        <v>1166</v>
      </c>
    </row>
    <row r="595" spans="1:3" ht="15">
      <c r="A595" s="90" t="s">
        <v>353</v>
      </c>
      <c r="B595" s="89" t="s">
        <v>2776</v>
      </c>
      <c r="C595" s="102" t="s">
        <v>1166</v>
      </c>
    </row>
    <row r="596" spans="1:3" ht="15">
      <c r="A596" s="90" t="s">
        <v>352</v>
      </c>
      <c r="B596" s="89" t="s">
        <v>3307</v>
      </c>
      <c r="C596" s="102" t="s">
        <v>1164</v>
      </c>
    </row>
    <row r="597" spans="1:3" ht="15">
      <c r="A597" s="90" t="s">
        <v>352</v>
      </c>
      <c r="B597" s="89" t="s">
        <v>3152</v>
      </c>
      <c r="C597" s="102" t="s">
        <v>1164</v>
      </c>
    </row>
    <row r="598" spans="1:3" ht="15">
      <c r="A598" s="90" t="s">
        <v>352</v>
      </c>
      <c r="B598" s="89" t="s">
        <v>3141</v>
      </c>
      <c r="C598" s="102" t="s">
        <v>1164</v>
      </c>
    </row>
    <row r="599" spans="1:3" ht="15">
      <c r="A599" s="90" t="s">
        <v>352</v>
      </c>
      <c r="B599" s="89" t="s">
        <v>2678</v>
      </c>
      <c r="C599" s="102" t="s">
        <v>1164</v>
      </c>
    </row>
    <row r="600" spans="1:3" ht="15">
      <c r="A600" s="90" t="s">
        <v>352</v>
      </c>
      <c r="B600" s="89" t="s">
        <v>2676</v>
      </c>
      <c r="C600" s="102" t="s">
        <v>1164</v>
      </c>
    </row>
    <row r="601" spans="1:3" ht="15">
      <c r="A601" s="90" t="s">
        <v>352</v>
      </c>
      <c r="B601" s="89" t="s">
        <v>3308</v>
      </c>
      <c r="C601" s="102" t="s">
        <v>1164</v>
      </c>
    </row>
    <row r="602" spans="1:3" ht="15">
      <c r="A602" s="90" t="s">
        <v>352</v>
      </c>
      <c r="B602" s="89" t="s">
        <v>3205</v>
      </c>
      <c r="C602" s="102" t="s">
        <v>1164</v>
      </c>
    </row>
    <row r="603" spans="1:3" ht="15">
      <c r="A603" s="90" t="s">
        <v>352</v>
      </c>
      <c r="B603" s="89" t="s">
        <v>3155</v>
      </c>
      <c r="C603" s="102" t="s">
        <v>1164</v>
      </c>
    </row>
    <row r="604" spans="1:3" ht="15">
      <c r="A604" s="90" t="s">
        <v>352</v>
      </c>
      <c r="B604" s="89" t="s">
        <v>3309</v>
      </c>
      <c r="C604" s="102" t="s">
        <v>1164</v>
      </c>
    </row>
    <row r="605" spans="1:3" ht="15">
      <c r="A605" s="90" t="s">
        <v>352</v>
      </c>
      <c r="B605" s="89" t="s">
        <v>2679</v>
      </c>
      <c r="C605" s="102" t="s">
        <v>1164</v>
      </c>
    </row>
    <row r="606" spans="1:3" ht="15">
      <c r="A606" s="90" t="s">
        <v>352</v>
      </c>
      <c r="B606" s="89" t="s">
        <v>712</v>
      </c>
      <c r="C606" s="102" t="s">
        <v>1164</v>
      </c>
    </row>
    <row r="607" spans="1:3" ht="15">
      <c r="A607" s="90" t="s">
        <v>352</v>
      </c>
      <c r="B607" s="89" t="s">
        <v>431</v>
      </c>
      <c r="C607" s="102" t="s">
        <v>1164</v>
      </c>
    </row>
    <row r="608" spans="1:3" ht="15">
      <c r="A608" s="90" t="s">
        <v>352</v>
      </c>
      <c r="B608" s="89" t="s">
        <v>3310</v>
      </c>
      <c r="C608" s="102" t="s">
        <v>1164</v>
      </c>
    </row>
    <row r="609" spans="1:3" ht="15">
      <c r="A609" s="90" t="s">
        <v>351</v>
      </c>
      <c r="B609" s="89" t="s">
        <v>3204</v>
      </c>
      <c r="C609" s="102" t="s">
        <v>1163</v>
      </c>
    </row>
    <row r="610" spans="1:3" ht="15">
      <c r="A610" s="90" t="s">
        <v>351</v>
      </c>
      <c r="B610" s="89" t="s">
        <v>2661</v>
      </c>
      <c r="C610" s="102" t="s">
        <v>1163</v>
      </c>
    </row>
    <row r="611" spans="1:3" ht="15">
      <c r="A611" s="90" t="s">
        <v>351</v>
      </c>
      <c r="B611" s="89" t="s">
        <v>3205</v>
      </c>
      <c r="C611" s="102" t="s">
        <v>1163</v>
      </c>
    </row>
    <row r="612" spans="1:3" ht="15">
      <c r="A612" s="90" t="s">
        <v>351</v>
      </c>
      <c r="B612" s="89" t="s">
        <v>3206</v>
      </c>
      <c r="C612" s="102" t="s">
        <v>1163</v>
      </c>
    </row>
    <row r="613" spans="1:3" ht="15">
      <c r="A613" s="90" t="s">
        <v>351</v>
      </c>
      <c r="B613" s="89" t="s">
        <v>3207</v>
      </c>
      <c r="C613" s="102" t="s">
        <v>1163</v>
      </c>
    </row>
    <row r="614" spans="1:3" ht="15">
      <c r="A614" s="90" t="s">
        <v>351</v>
      </c>
      <c r="B614" s="89" t="s">
        <v>2683</v>
      </c>
      <c r="C614" s="102" t="s">
        <v>1163</v>
      </c>
    </row>
    <row r="615" spans="1:3" ht="15">
      <c r="A615" s="90" t="s">
        <v>349</v>
      </c>
      <c r="B615" s="89" t="s">
        <v>500</v>
      </c>
      <c r="C615" s="102" t="s">
        <v>1162</v>
      </c>
    </row>
    <row r="616" spans="1:3" ht="15">
      <c r="A616" s="90" t="s">
        <v>349</v>
      </c>
      <c r="B616" s="89" t="s">
        <v>350</v>
      </c>
      <c r="C616" s="102" t="s">
        <v>1162</v>
      </c>
    </row>
    <row r="617" spans="1:3" ht="15">
      <c r="A617" s="90" t="s">
        <v>349</v>
      </c>
      <c r="B617" s="89" t="s">
        <v>3371</v>
      </c>
      <c r="C617" s="102" t="s">
        <v>1162</v>
      </c>
    </row>
    <row r="618" spans="1:3" ht="15">
      <c r="A618" s="90" t="s">
        <v>349</v>
      </c>
      <c r="B618" s="89" t="s">
        <v>3372</v>
      </c>
      <c r="C618" s="102" t="s">
        <v>1162</v>
      </c>
    </row>
    <row r="619" spans="1:3" ht="15">
      <c r="A619" s="90" t="s">
        <v>349</v>
      </c>
      <c r="B619" s="89" t="s">
        <v>3373</v>
      </c>
      <c r="C619" s="102" t="s">
        <v>1162</v>
      </c>
    </row>
    <row r="620" spans="1:3" ht="15">
      <c r="A620" s="90" t="s">
        <v>349</v>
      </c>
      <c r="B620" s="89" t="s">
        <v>3137</v>
      </c>
      <c r="C620" s="102" t="s">
        <v>1162</v>
      </c>
    </row>
    <row r="621" spans="1:3" ht="15">
      <c r="A621" s="90" t="s">
        <v>349</v>
      </c>
      <c r="B621" s="89" t="s">
        <v>3374</v>
      </c>
      <c r="C621" s="102" t="s">
        <v>1162</v>
      </c>
    </row>
    <row r="622" spans="1:3" ht="15">
      <c r="A622" s="90" t="s">
        <v>349</v>
      </c>
      <c r="B622" s="89" t="s">
        <v>2953</v>
      </c>
      <c r="C622" s="102" t="s">
        <v>1162</v>
      </c>
    </row>
    <row r="623" spans="1:3" ht="15">
      <c r="A623" s="90" t="s">
        <v>349</v>
      </c>
      <c r="B623" s="89" t="s">
        <v>3375</v>
      </c>
      <c r="C623" s="102" t="s">
        <v>1162</v>
      </c>
    </row>
    <row r="624" spans="1:3" ht="15">
      <c r="A624" s="90" t="s">
        <v>349</v>
      </c>
      <c r="B624" s="89" t="s">
        <v>3263</v>
      </c>
      <c r="C624" s="102" t="s">
        <v>1162</v>
      </c>
    </row>
    <row r="625" spans="1:3" ht="15">
      <c r="A625" s="90" t="s">
        <v>349</v>
      </c>
      <c r="B625" s="89" t="s">
        <v>2836</v>
      </c>
      <c r="C625" s="102" t="s">
        <v>1162</v>
      </c>
    </row>
    <row r="626" spans="1:3" ht="15">
      <c r="A626" s="90" t="s">
        <v>349</v>
      </c>
      <c r="B626" s="89" t="s">
        <v>3376</v>
      </c>
      <c r="C626" s="102" t="s">
        <v>1162</v>
      </c>
    </row>
    <row r="627" spans="1:3" ht="15">
      <c r="A627" s="90" t="s">
        <v>349</v>
      </c>
      <c r="B627" s="89" t="s">
        <v>3377</v>
      </c>
      <c r="C627" s="102" t="s">
        <v>1162</v>
      </c>
    </row>
    <row r="628" spans="1:3" ht="15">
      <c r="A628" s="90" t="s">
        <v>349</v>
      </c>
      <c r="B628" s="89" t="s">
        <v>3378</v>
      </c>
      <c r="C628" s="102" t="s">
        <v>1162</v>
      </c>
    </row>
    <row r="629" spans="1:3" ht="15">
      <c r="A629" s="90" t="s">
        <v>349</v>
      </c>
      <c r="B629" s="89" t="s">
        <v>3379</v>
      </c>
      <c r="C629" s="102" t="s">
        <v>1162</v>
      </c>
    </row>
    <row r="630" spans="1:3" ht="15">
      <c r="A630" s="90" t="s">
        <v>349</v>
      </c>
      <c r="B630" s="89" t="s">
        <v>3380</v>
      </c>
      <c r="C630" s="102" t="s">
        <v>1162</v>
      </c>
    </row>
    <row r="631" spans="1:3" ht="15">
      <c r="A631" s="90" t="s">
        <v>349</v>
      </c>
      <c r="B631" s="89" t="s">
        <v>2954</v>
      </c>
      <c r="C631" s="102" t="s">
        <v>1162</v>
      </c>
    </row>
    <row r="632" spans="1:3" ht="15">
      <c r="A632" s="90" t="s">
        <v>349</v>
      </c>
      <c r="B632" s="89" t="s">
        <v>2733</v>
      </c>
      <c r="C632" s="102" t="s">
        <v>1162</v>
      </c>
    </row>
    <row r="633" spans="1:3" ht="15">
      <c r="A633" s="90" t="s">
        <v>349</v>
      </c>
      <c r="B633" s="89" t="s">
        <v>2955</v>
      </c>
      <c r="C633" s="102" t="s">
        <v>1162</v>
      </c>
    </row>
    <row r="634" spans="1:3" ht="15">
      <c r="A634" s="90" t="s">
        <v>349</v>
      </c>
      <c r="B634" s="89" t="s">
        <v>3306</v>
      </c>
      <c r="C634" s="102" t="s">
        <v>1162</v>
      </c>
    </row>
    <row r="635" spans="1:3" ht="15">
      <c r="A635" s="90" t="s">
        <v>349</v>
      </c>
      <c r="B635" s="89" t="s">
        <v>712</v>
      </c>
      <c r="C635" s="102" t="s">
        <v>1162</v>
      </c>
    </row>
    <row r="636" spans="1:3" ht="15">
      <c r="A636" s="90" t="s">
        <v>349</v>
      </c>
      <c r="B636" s="89" t="s">
        <v>3243</v>
      </c>
      <c r="C636" s="102" t="s">
        <v>1162</v>
      </c>
    </row>
    <row r="637" spans="1:3" ht="15">
      <c r="A637" s="90" t="s">
        <v>349</v>
      </c>
      <c r="B637" s="89" t="s">
        <v>3381</v>
      </c>
      <c r="C637" s="102" t="s">
        <v>1162</v>
      </c>
    </row>
    <row r="638" spans="1:3" ht="15">
      <c r="A638" s="90" t="s">
        <v>349</v>
      </c>
      <c r="B638" s="89" t="s">
        <v>3382</v>
      </c>
      <c r="C638" s="102" t="s">
        <v>1162</v>
      </c>
    </row>
    <row r="639" spans="1:3" ht="15">
      <c r="A639" s="90" t="s">
        <v>349</v>
      </c>
      <c r="B639" s="89" t="s">
        <v>3383</v>
      </c>
      <c r="C639" s="102" t="s">
        <v>1162</v>
      </c>
    </row>
    <row r="640" spans="1:3" ht="15">
      <c r="A640" s="90" t="s">
        <v>349</v>
      </c>
      <c r="B640" s="89" t="s">
        <v>3384</v>
      </c>
      <c r="C640" s="102" t="s">
        <v>1162</v>
      </c>
    </row>
    <row r="641" spans="1:3" ht="15">
      <c r="A641" s="90" t="s">
        <v>349</v>
      </c>
      <c r="B641" s="89" t="s">
        <v>3385</v>
      </c>
      <c r="C641" s="102" t="s">
        <v>1162</v>
      </c>
    </row>
    <row r="642" spans="1:3" ht="15">
      <c r="A642" s="90" t="s">
        <v>349</v>
      </c>
      <c r="B642" s="89" t="s">
        <v>3386</v>
      </c>
      <c r="C642" s="102" t="s">
        <v>1162</v>
      </c>
    </row>
    <row r="643" spans="1:3" ht="15">
      <c r="A643" s="90" t="s">
        <v>349</v>
      </c>
      <c r="B643" s="89" t="s">
        <v>3387</v>
      </c>
      <c r="C643" s="102" t="s">
        <v>1162</v>
      </c>
    </row>
    <row r="644" spans="1:3" ht="15">
      <c r="A644" s="90" t="s">
        <v>349</v>
      </c>
      <c r="B644" s="89" t="s">
        <v>3346</v>
      </c>
      <c r="C644" s="102" t="s">
        <v>1162</v>
      </c>
    </row>
    <row r="645" spans="1:3" ht="15">
      <c r="A645" s="90" t="s">
        <v>349</v>
      </c>
      <c r="B645" s="89" t="s">
        <v>3388</v>
      </c>
      <c r="C645" s="102" t="s">
        <v>1162</v>
      </c>
    </row>
    <row r="646" spans="1:3" ht="15">
      <c r="A646" s="90" t="s">
        <v>349</v>
      </c>
      <c r="B646" s="89" t="s">
        <v>3389</v>
      </c>
      <c r="C646" s="102" t="s">
        <v>1162</v>
      </c>
    </row>
    <row r="647" spans="1:3" ht="15">
      <c r="A647" s="90" t="s">
        <v>350</v>
      </c>
      <c r="B647" s="89" t="s">
        <v>349</v>
      </c>
      <c r="C647" s="102" t="s">
        <v>1161</v>
      </c>
    </row>
    <row r="648" spans="1:3" ht="15">
      <c r="A648" s="90" t="s">
        <v>350</v>
      </c>
      <c r="B648" s="89" t="s">
        <v>500</v>
      </c>
      <c r="C648" s="102" t="s">
        <v>1161</v>
      </c>
    </row>
    <row r="649" spans="1:3" ht="15">
      <c r="A649" s="90" t="s">
        <v>350</v>
      </c>
      <c r="B649" s="89" t="s">
        <v>3371</v>
      </c>
      <c r="C649" s="102" t="s">
        <v>1161</v>
      </c>
    </row>
    <row r="650" spans="1:3" ht="15">
      <c r="A650" s="90" t="s">
        <v>350</v>
      </c>
      <c r="B650" s="89" t="s">
        <v>3372</v>
      </c>
      <c r="C650" s="102" t="s">
        <v>1161</v>
      </c>
    </row>
    <row r="651" spans="1:3" ht="15">
      <c r="A651" s="90" t="s">
        <v>350</v>
      </c>
      <c r="B651" s="89" t="s">
        <v>3390</v>
      </c>
      <c r="C651" s="102" t="s">
        <v>1161</v>
      </c>
    </row>
    <row r="652" spans="1:3" ht="15">
      <c r="A652" s="90" t="s">
        <v>350</v>
      </c>
      <c r="B652" s="89" t="s">
        <v>3391</v>
      </c>
      <c r="C652" s="102" t="s">
        <v>1161</v>
      </c>
    </row>
    <row r="653" spans="1:3" ht="15">
      <c r="A653" s="90" t="s">
        <v>350</v>
      </c>
      <c r="B653" s="89" t="s">
        <v>3263</v>
      </c>
      <c r="C653" s="102" t="s">
        <v>1161</v>
      </c>
    </row>
    <row r="654" spans="1:3" ht="15">
      <c r="A654" s="90" t="s">
        <v>350</v>
      </c>
      <c r="B654" s="89" t="s">
        <v>2677</v>
      </c>
      <c r="C654" s="102" t="s">
        <v>1161</v>
      </c>
    </row>
    <row r="655" spans="1:3" ht="15">
      <c r="A655" s="90" t="s">
        <v>350</v>
      </c>
      <c r="B655" s="89" t="s">
        <v>3392</v>
      </c>
      <c r="C655" s="102" t="s">
        <v>1161</v>
      </c>
    </row>
    <row r="656" spans="1:3" ht="15">
      <c r="A656" s="90" t="s">
        <v>350</v>
      </c>
      <c r="B656" s="89" t="s">
        <v>3393</v>
      </c>
      <c r="C656" s="102" t="s">
        <v>1161</v>
      </c>
    </row>
    <row r="657" spans="1:3" ht="15">
      <c r="A657" s="90" t="s">
        <v>350</v>
      </c>
      <c r="B657" s="89" t="s">
        <v>3155</v>
      </c>
      <c r="C657" s="102" t="s">
        <v>1161</v>
      </c>
    </row>
    <row r="658" spans="1:3" ht="15">
      <c r="A658" s="90" t="s">
        <v>350</v>
      </c>
      <c r="B658" s="89" t="s">
        <v>3394</v>
      </c>
      <c r="C658" s="102" t="s">
        <v>1161</v>
      </c>
    </row>
    <row r="659" spans="1:3" ht="15">
      <c r="A659" s="90" t="s">
        <v>350</v>
      </c>
      <c r="B659" s="89" t="s">
        <v>3395</v>
      </c>
      <c r="C659" s="102" t="s">
        <v>1161</v>
      </c>
    </row>
    <row r="660" spans="1:3" ht="15">
      <c r="A660" s="90" t="s">
        <v>350</v>
      </c>
      <c r="B660" s="89" t="s">
        <v>3396</v>
      </c>
      <c r="C660" s="102" t="s">
        <v>1161</v>
      </c>
    </row>
    <row r="661" spans="1:3" ht="15">
      <c r="A661" s="90" t="s">
        <v>350</v>
      </c>
      <c r="B661" s="89" t="s">
        <v>3397</v>
      </c>
      <c r="C661" s="102" t="s">
        <v>1161</v>
      </c>
    </row>
    <row r="662" spans="1:3" ht="15">
      <c r="A662" s="90" t="s">
        <v>350</v>
      </c>
      <c r="B662" s="89" t="s">
        <v>2777</v>
      </c>
      <c r="C662" s="102" t="s">
        <v>1161</v>
      </c>
    </row>
    <row r="663" spans="1:3" ht="15">
      <c r="A663" s="90" t="s">
        <v>350</v>
      </c>
      <c r="B663" s="89" t="s">
        <v>3398</v>
      </c>
      <c r="C663" s="102" t="s">
        <v>1161</v>
      </c>
    </row>
    <row r="664" spans="1:3" ht="15">
      <c r="A664" s="90" t="s">
        <v>350</v>
      </c>
      <c r="B664" s="89" t="s">
        <v>3399</v>
      </c>
      <c r="C664" s="102" t="s">
        <v>1161</v>
      </c>
    </row>
    <row r="665" spans="1:3" ht="15">
      <c r="A665" s="90" t="s">
        <v>350</v>
      </c>
      <c r="B665" s="89" t="s">
        <v>3400</v>
      </c>
      <c r="C665" s="102" t="s">
        <v>1161</v>
      </c>
    </row>
    <row r="666" spans="1:3" ht="15">
      <c r="A666" s="90" t="s">
        <v>350</v>
      </c>
      <c r="B666" s="89" t="s">
        <v>3401</v>
      </c>
      <c r="C666" s="102" t="s">
        <v>1161</v>
      </c>
    </row>
    <row r="667" spans="1:3" ht="15">
      <c r="A667" s="90" t="s">
        <v>350</v>
      </c>
      <c r="B667" s="89" t="s">
        <v>3204</v>
      </c>
      <c r="C667" s="102" t="s">
        <v>1161</v>
      </c>
    </row>
    <row r="668" spans="1:3" ht="15">
      <c r="A668" s="90" t="s">
        <v>350</v>
      </c>
      <c r="B668" s="89" t="s">
        <v>3402</v>
      </c>
      <c r="C668" s="102" t="s">
        <v>1161</v>
      </c>
    </row>
    <row r="669" spans="1:3" ht="15">
      <c r="A669" s="90" t="s">
        <v>350</v>
      </c>
      <c r="B669" s="89" t="s">
        <v>2706</v>
      </c>
      <c r="C669" s="102" t="s">
        <v>1161</v>
      </c>
    </row>
    <row r="670" spans="1:3" ht="15">
      <c r="A670" s="90" t="s">
        <v>350</v>
      </c>
      <c r="B670" s="89" t="s">
        <v>3192</v>
      </c>
      <c r="C670" s="102" t="s">
        <v>1161</v>
      </c>
    </row>
    <row r="671" spans="1:3" ht="15">
      <c r="A671" s="90" t="s">
        <v>350</v>
      </c>
      <c r="B671" s="89" t="s">
        <v>3141</v>
      </c>
      <c r="C671" s="102" t="s">
        <v>1161</v>
      </c>
    </row>
    <row r="672" spans="1:3" ht="15">
      <c r="A672" s="90" t="s">
        <v>350</v>
      </c>
      <c r="B672" s="89" t="s">
        <v>2717</v>
      </c>
      <c r="C672" s="102" t="s">
        <v>1161</v>
      </c>
    </row>
    <row r="673" spans="1:3" ht="15">
      <c r="A673" s="90" t="s">
        <v>350</v>
      </c>
      <c r="B673" s="89" t="s">
        <v>3403</v>
      </c>
      <c r="C673" s="102" t="s">
        <v>1161</v>
      </c>
    </row>
    <row r="674" spans="1:3" ht="15">
      <c r="A674" s="90" t="s">
        <v>350</v>
      </c>
      <c r="B674" s="89" t="s">
        <v>3404</v>
      </c>
      <c r="C674" s="102" t="s">
        <v>1161</v>
      </c>
    </row>
    <row r="675" spans="1:3" ht="15">
      <c r="A675" s="90" t="s">
        <v>350</v>
      </c>
      <c r="B675" s="89" t="s">
        <v>3309</v>
      </c>
      <c r="C675" s="102" t="s">
        <v>1161</v>
      </c>
    </row>
    <row r="676" spans="1:3" ht="15">
      <c r="A676" s="90" t="s">
        <v>350</v>
      </c>
      <c r="B676" s="89" t="s">
        <v>3405</v>
      </c>
      <c r="C676" s="102" t="s">
        <v>1161</v>
      </c>
    </row>
    <row r="677" spans="1:3" ht="15">
      <c r="A677" s="90" t="s">
        <v>350</v>
      </c>
      <c r="B677" s="89" t="s">
        <v>3406</v>
      </c>
      <c r="C677" s="102" t="s">
        <v>1161</v>
      </c>
    </row>
    <row r="678" spans="1:3" ht="15">
      <c r="A678" s="90" t="s">
        <v>349</v>
      </c>
      <c r="B678" s="89" t="s">
        <v>3407</v>
      </c>
      <c r="C678" s="102" t="s">
        <v>1160</v>
      </c>
    </row>
    <row r="679" spans="1:3" ht="15">
      <c r="A679" s="90" t="s">
        <v>349</v>
      </c>
      <c r="B679" s="89" t="s">
        <v>3189</v>
      </c>
      <c r="C679" s="102" t="s">
        <v>1160</v>
      </c>
    </row>
    <row r="680" spans="1:3" ht="15">
      <c r="A680" s="90" t="s">
        <v>349</v>
      </c>
      <c r="B680" s="89" t="s">
        <v>3408</v>
      </c>
      <c r="C680" s="102" t="s">
        <v>1160</v>
      </c>
    </row>
    <row r="681" spans="1:3" ht="15">
      <c r="A681" s="90" t="s">
        <v>349</v>
      </c>
      <c r="B681" s="89" t="s">
        <v>3409</v>
      </c>
      <c r="C681" s="102" t="s">
        <v>1160</v>
      </c>
    </row>
    <row r="682" spans="1:3" ht="15">
      <c r="A682" s="90" t="s">
        <v>349</v>
      </c>
      <c r="B682" s="89" t="s">
        <v>3410</v>
      </c>
      <c r="C682" s="102" t="s">
        <v>1160</v>
      </c>
    </row>
    <row r="683" spans="1:3" ht="15">
      <c r="A683" s="90" t="s">
        <v>349</v>
      </c>
      <c r="B683" s="89" t="s">
        <v>3411</v>
      </c>
      <c r="C683" s="102" t="s">
        <v>1160</v>
      </c>
    </row>
    <row r="684" spans="1:3" ht="15">
      <c r="A684" s="90" t="s">
        <v>349</v>
      </c>
      <c r="B684" s="89" t="s">
        <v>3299</v>
      </c>
      <c r="C684" s="102" t="s">
        <v>1160</v>
      </c>
    </row>
    <row r="685" spans="1:3" ht="15">
      <c r="A685" s="90" t="s">
        <v>349</v>
      </c>
      <c r="B685" s="89" t="s">
        <v>3412</v>
      </c>
      <c r="C685" s="102" t="s">
        <v>1160</v>
      </c>
    </row>
    <row r="686" spans="1:3" ht="15">
      <c r="A686" s="90" t="s">
        <v>349</v>
      </c>
      <c r="B686" s="89" t="s">
        <v>3413</v>
      </c>
      <c r="C686" s="102" t="s">
        <v>1160</v>
      </c>
    </row>
    <row r="687" spans="1:3" ht="15">
      <c r="A687" s="90" t="s">
        <v>349</v>
      </c>
      <c r="B687" s="89" t="s">
        <v>3414</v>
      </c>
      <c r="C687" s="102" t="s">
        <v>1160</v>
      </c>
    </row>
    <row r="688" spans="1:3" ht="15">
      <c r="A688" s="90" t="s">
        <v>349</v>
      </c>
      <c r="B688" s="89" t="s">
        <v>3415</v>
      </c>
      <c r="C688" s="102" t="s">
        <v>1160</v>
      </c>
    </row>
    <row r="689" spans="1:3" ht="15">
      <c r="A689" s="90" t="s">
        <v>349</v>
      </c>
      <c r="B689" s="89" t="s">
        <v>3137</v>
      </c>
      <c r="C689" s="102" t="s">
        <v>1160</v>
      </c>
    </row>
    <row r="690" spans="1:3" ht="15">
      <c r="A690" s="90" t="s">
        <v>349</v>
      </c>
      <c r="B690" s="89" t="s">
        <v>3416</v>
      </c>
      <c r="C690" s="102" t="s">
        <v>1160</v>
      </c>
    </row>
    <row r="691" spans="1:3" ht="15">
      <c r="A691" s="90" t="s">
        <v>349</v>
      </c>
      <c r="B691" s="89" t="s">
        <v>3417</v>
      </c>
      <c r="C691" s="102" t="s">
        <v>1160</v>
      </c>
    </row>
    <row r="692" spans="1:3" ht="15">
      <c r="A692" s="90" t="s">
        <v>349</v>
      </c>
      <c r="B692" s="89" t="s">
        <v>3418</v>
      </c>
      <c r="C692" s="102" t="s">
        <v>1160</v>
      </c>
    </row>
    <row r="693" spans="1:3" ht="15">
      <c r="A693" s="90" t="s">
        <v>349</v>
      </c>
      <c r="B693" s="89" t="s">
        <v>3204</v>
      </c>
      <c r="C693" s="102" t="s">
        <v>1160</v>
      </c>
    </row>
    <row r="694" spans="1:3" ht="15">
      <c r="A694" s="90" t="s">
        <v>349</v>
      </c>
      <c r="B694" s="89" t="s">
        <v>3419</v>
      </c>
      <c r="C694" s="102" t="s">
        <v>1160</v>
      </c>
    </row>
    <row r="695" spans="1:3" ht="15">
      <c r="A695" s="90" t="s">
        <v>349</v>
      </c>
      <c r="B695" s="89" t="s">
        <v>3420</v>
      </c>
      <c r="C695" s="102" t="s">
        <v>1160</v>
      </c>
    </row>
    <row r="696" spans="1:3" ht="15">
      <c r="A696" s="90" t="s">
        <v>349</v>
      </c>
      <c r="B696" s="89" t="s">
        <v>2734</v>
      </c>
      <c r="C696" s="102" t="s">
        <v>1160</v>
      </c>
    </row>
    <row r="697" spans="1:3" ht="15">
      <c r="A697" s="90" t="s">
        <v>349</v>
      </c>
      <c r="B697" s="89" t="s">
        <v>2956</v>
      </c>
      <c r="C697" s="102" t="s">
        <v>1160</v>
      </c>
    </row>
    <row r="698" spans="1:3" ht="15">
      <c r="A698" s="90" t="s">
        <v>349</v>
      </c>
      <c r="B698" s="89" t="s">
        <v>2955</v>
      </c>
      <c r="C698" s="102" t="s">
        <v>1160</v>
      </c>
    </row>
    <row r="699" spans="1:3" ht="15">
      <c r="A699" s="90" t="s">
        <v>349</v>
      </c>
      <c r="B699" s="89" t="s">
        <v>3306</v>
      </c>
      <c r="C699" s="102" t="s">
        <v>1160</v>
      </c>
    </row>
    <row r="700" spans="1:3" ht="15">
      <c r="A700" s="90" t="s">
        <v>349</v>
      </c>
      <c r="B700" s="89" t="s">
        <v>3421</v>
      </c>
      <c r="C700" s="102" t="s">
        <v>1160</v>
      </c>
    </row>
    <row r="701" spans="1:3" ht="15">
      <c r="A701" s="90" t="s">
        <v>349</v>
      </c>
      <c r="B701" s="89" t="s">
        <v>3422</v>
      </c>
      <c r="C701" s="102" t="s">
        <v>1160</v>
      </c>
    </row>
    <row r="702" spans="1:3" ht="15">
      <c r="A702" s="90" t="s">
        <v>349</v>
      </c>
      <c r="B702" s="89" t="s">
        <v>3423</v>
      </c>
      <c r="C702" s="102" t="s">
        <v>1160</v>
      </c>
    </row>
    <row r="703" spans="1:3" ht="15">
      <c r="A703" s="90" t="s">
        <v>349</v>
      </c>
      <c r="B703" s="89" t="s">
        <v>3390</v>
      </c>
      <c r="C703" s="102" t="s">
        <v>1160</v>
      </c>
    </row>
    <row r="704" spans="1:3" ht="15">
      <c r="A704" s="90" t="s">
        <v>349</v>
      </c>
      <c r="B704" s="89" t="s">
        <v>3424</v>
      </c>
      <c r="C704" s="102" t="s">
        <v>1160</v>
      </c>
    </row>
    <row r="705" spans="1:3" ht="15">
      <c r="A705" s="90" t="s">
        <v>349</v>
      </c>
      <c r="B705" s="89" t="s">
        <v>3425</v>
      </c>
      <c r="C705" s="102" t="s">
        <v>1159</v>
      </c>
    </row>
    <row r="706" spans="1:3" ht="15">
      <c r="A706" s="90" t="s">
        <v>349</v>
      </c>
      <c r="B706" s="89" t="s">
        <v>3426</v>
      </c>
      <c r="C706" s="102" t="s">
        <v>1159</v>
      </c>
    </row>
    <row r="707" spans="1:3" ht="15">
      <c r="A707" s="90" t="s">
        <v>349</v>
      </c>
      <c r="B707" s="89" t="s">
        <v>3427</v>
      </c>
      <c r="C707" s="102" t="s">
        <v>1159</v>
      </c>
    </row>
    <row r="708" spans="1:3" ht="15">
      <c r="A708" s="90" t="s">
        <v>349</v>
      </c>
      <c r="B708" s="89" t="s">
        <v>3428</v>
      </c>
      <c r="C708" s="102" t="s">
        <v>1159</v>
      </c>
    </row>
    <row r="709" spans="1:3" ht="15">
      <c r="A709" s="90" t="s">
        <v>349</v>
      </c>
      <c r="B709" s="89" t="s">
        <v>3349</v>
      </c>
      <c r="C709" s="102" t="s">
        <v>1159</v>
      </c>
    </row>
    <row r="710" spans="1:3" ht="15">
      <c r="A710" s="90" t="s">
        <v>349</v>
      </c>
      <c r="B710" s="89" t="s">
        <v>3141</v>
      </c>
      <c r="C710" s="102" t="s">
        <v>1159</v>
      </c>
    </row>
    <row r="711" spans="1:3" ht="15">
      <c r="A711" s="90" t="s">
        <v>349</v>
      </c>
      <c r="B711" s="89" t="s">
        <v>3429</v>
      </c>
      <c r="C711" s="102" t="s">
        <v>1159</v>
      </c>
    </row>
    <row r="712" spans="1:3" ht="15">
      <c r="A712" s="90" t="s">
        <v>349</v>
      </c>
      <c r="B712" s="89" t="s">
        <v>3430</v>
      </c>
      <c r="C712" s="102" t="s">
        <v>1159</v>
      </c>
    </row>
    <row r="713" spans="1:3" ht="15">
      <c r="A713" s="90" t="s">
        <v>349</v>
      </c>
      <c r="B713" s="89" t="s">
        <v>3431</v>
      </c>
      <c r="C713" s="102" t="s">
        <v>1159</v>
      </c>
    </row>
    <row r="714" spans="1:3" ht="15">
      <c r="A714" s="90" t="s">
        <v>349</v>
      </c>
      <c r="B714" s="89" t="s">
        <v>3432</v>
      </c>
      <c r="C714" s="102" t="s">
        <v>1159</v>
      </c>
    </row>
    <row r="715" spans="1:3" ht="15">
      <c r="A715" s="90" t="s">
        <v>349</v>
      </c>
      <c r="B715" s="89" t="s">
        <v>712</v>
      </c>
      <c r="C715" s="102" t="s">
        <v>1159</v>
      </c>
    </row>
    <row r="716" spans="1:3" ht="15">
      <c r="A716" s="90" t="s">
        <v>349</v>
      </c>
      <c r="B716" s="89" t="s">
        <v>2713</v>
      </c>
      <c r="C716" s="102" t="s">
        <v>1159</v>
      </c>
    </row>
    <row r="717" spans="1:3" ht="15">
      <c r="A717" s="90" t="s">
        <v>349</v>
      </c>
      <c r="B717" s="89" t="s">
        <v>3181</v>
      </c>
      <c r="C717" s="102" t="s">
        <v>1159</v>
      </c>
    </row>
    <row r="718" spans="1:3" ht="15">
      <c r="A718" s="90" t="s">
        <v>349</v>
      </c>
      <c r="B718" s="89" t="s">
        <v>2838</v>
      </c>
      <c r="C718" s="102" t="s">
        <v>1159</v>
      </c>
    </row>
    <row r="719" spans="1:3" ht="15">
      <c r="A719" s="90" t="s">
        <v>349</v>
      </c>
      <c r="B719" s="89" t="s">
        <v>2737</v>
      </c>
      <c r="C719" s="102" t="s">
        <v>1159</v>
      </c>
    </row>
    <row r="720" spans="1:3" ht="15">
      <c r="A720" s="90" t="s">
        <v>349</v>
      </c>
      <c r="B720" s="89" t="s">
        <v>3433</v>
      </c>
      <c r="C720" s="102" t="s">
        <v>1159</v>
      </c>
    </row>
    <row r="721" spans="1:3" ht="15">
      <c r="A721" s="90" t="s">
        <v>349</v>
      </c>
      <c r="B721" s="89" t="s">
        <v>2957</v>
      </c>
      <c r="C721" s="102" t="s">
        <v>1159</v>
      </c>
    </row>
    <row r="722" spans="1:3" ht="15">
      <c r="A722" s="90" t="s">
        <v>349</v>
      </c>
      <c r="B722" s="89" t="s">
        <v>3434</v>
      </c>
      <c r="C722" s="102" t="s">
        <v>1159</v>
      </c>
    </row>
    <row r="723" spans="1:3" ht="15">
      <c r="A723" s="90" t="s">
        <v>349</v>
      </c>
      <c r="B723" s="89" t="s">
        <v>3167</v>
      </c>
      <c r="C723" s="102" t="s">
        <v>1159</v>
      </c>
    </row>
    <row r="724" spans="1:3" ht="15">
      <c r="A724" s="90" t="s">
        <v>349</v>
      </c>
      <c r="B724" s="89" t="s">
        <v>3435</v>
      </c>
      <c r="C724" s="102" t="s">
        <v>1159</v>
      </c>
    </row>
    <row r="725" spans="1:3" ht="15">
      <c r="A725" s="90" t="s">
        <v>349</v>
      </c>
      <c r="B725" s="89" t="s">
        <v>2839</v>
      </c>
      <c r="C725" s="102" t="s">
        <v>1159</v>
      </c>
    </row>
    <row r="726" spans="1:3" ht="15">
      <c r="A726" s="90" t="s">
        <v>349</v>
      </c>
      <c r="B726" s="89" t="s">
        <v>3288</v>
      </c>
      <c r="C726" s="102" t="s">
        <v>1159</v>
      </c>
    </row>
    <row r="727" spans="1:3" ht="15">
      <c r="A727" s="90" t="s">
        <v>349</v>
      </c>
      <c r="B727" s="89" t="s">
        <v>1445</v>
      </c>
      <c r="C727" s="102" t="s">
        <v>1159</v>
      </c>
    </row>
    <row r="728" spans="1:3" ht="15">
      <c r="A728" s="90" t="s">
        <v>349</v>
      </c>
      <c r="B728" s="89" t="s">
        <v>2958</v>
      </c>
      <c r="C728" s="102" t="s">
        <v>1159</v>
      </c>
    </row>
    <row r="729" spans="1:3" ht="15">
      <c r="A729" s="90" t="s">
        <v>349</v>
      </c>
      <c r="B729" s="89" t="s">
        <v>3436</v>
      </c>
      <c r="C729" s="102" t="s">
        <v>1159</v>
      </c>
    </row>
    <row r="730" spans="1:3" ht="15">
      <c r="A730" s="90" t="s">
        <v>349</v>
      </c>
      <c r="B730" s="89" t="s">
        <v>3437</v>
      </c>
      <c r="C730" s="102" t="s">
        <v>1159</v>
      </c>
    </row>
    <row r="731" spans="1:3" ht="15">
      <c r="A731" s="90" t="s">
        <v>349</v>
      </c>
      <c r="B731" s="89" t="s">
        <v>3438</v>
      </c>
      <c r="C731" s="102" t="s">
        <v>1159</v>
      </c>
    </row>
    <row r="732" spans="1:3" ht="15">
      <c r="A732" s="90" t="s">
        <v>349</v>
      </c>
      <c r="B732" s="89" t="s">
        <v>3439</v>
      </c>
      <c r="C732" s="102" t="s">
        <v>1159</v>
      </c>
    </row>
    <row r="733" spans="1:3" ht="15">
      <c r="A733" s="90" t="s">
        <v>349</v>
      </c>
      <c r="B733" s="89" t="s">
        <v>3440</v>
      </c>
      <c r="C733" s="102" t="s">
        <v>1159</v>
      </c>
    </row>
    <row r="734" spans="1:3" ht="15">
      <c r="A734" s="90" t="s">
        <v>349</v>
      </c>
      <c r="B734" s="89" t="s">
        <v>3192</v>
      </c>
      <c r="C734" s="102" t="s">
        <v>1159</v>
      </c>
    </row>
    <row r="735" spans="1:3" ht="15">
      <c r="A735" s="90" t="s">
        <v>347</v>
      </c>
      <c r="B735" s="89" t="s">
        <v>3204</v>
      </c>
      <c r="C735" s="102" t="s">
        <v>1156</v>
      </c>
    </row>
    <row r="736" spans="1:3" ht="15">
      <c r="A736" s="90" t="s">
        <v>347</v>
      </c>
      <c r="B736" s="89" t="s">
        <v>2661</v>
      </c>
      <c r="C736" s="102" t="s">
        <v>1156</v>
      </c>
    </row>
    <row r="737" spans="1:3" ht="15">
      <c r="A737" s="90" t="s">
        <v>347</v>
      </c>
      <c r="B737" s="89" t="s">
        <v>3205</v>
      </c>
      <c r="C737" s="102" t="s">
        <v>1156</v>
      </c>
    </row>
    <row r="738" spans="1:3" ht="15">
      <c r="A738" s="90" t="s">
        <v>347</v>
      </c>
      <c r="B738" s="89" t="s">
        <v>3206</v>
      </c>
      <c r="C738" s="102" t="s">
        <v>1156</v>
      </c>
    </row>
    <row r="739" spans="1:3" ht="15">
      <c r="A739" s="90" t="s">
        <v>347</v>
      </c>
      <c r="B739" s="89" t="s">
        <v>3207</v>
      </c>
      <c r="C739" s="102" t="s">
        <v>1156</v>
      </c>
    </row>
    <row r="740" spans="1:3" ht="15">
      <c r="A740" s="90" t="s">
        <v>347</v>
      </c>
      <c r="B740" s="89" t="s">
        <v>2683</v>
      </c>
      <c r="C740" s="102" t="s">
        <v>1156</v>
      </c>
    </row>
    <row r="741" spans="1:3" ht="15">
      <c r="A741" s="90" t="s">
        <v>347</v>
      </c>
      <c r="B741" s="89" t="s">
        <v>3307</v>
      </c>
      <c r="C741" s="102" t="s">
        <v>1155</v>
      </c>
    </row>
    <row r="742" spans="1:3" ht="15">
      <c r="A742" s="90" t="s">
        <v>347</v>
      </c>
      <c r="B742" s="89" t="s">
        <v>3152</v>
      </c>
      <c r="C742" s="102" t="s">
        <v>1155</v>
      </c>
    </row>
    <row r="743" spans="1:3" ht="15">
      <c r="A743" s="90" t="s">
        <v>347</v>
      </c>
      <c r="B743" s="89" t="s">
        <v>3141</v>
      </c>
      <c r="C743" s="102" t="s">
        <v>1155</v>
      </c>
    </row>
    <row r="744" spans="1:3" ht="15">
      <c r="A744" s="90" t="s">
        <v>347</v>
      </c>
      <c r="B744" s="89" t="s">
        <v>2678</v>
      </c>
      <c r="C744" s="102" t="s">
        <v>1155</v>
      </c>
    </row>
    <row r="745" spans="1:3" ht="15">
      <c r="A745" s="90" t="s">
        <v>347</v>
      </c>
      <c r="B745" s="89" t="s">
        <v>2676</v>
      </c>
      <c r="C745" s="102" t="s">
        <v>1155</v>
      </c>
    </row>
    <row r="746" spans="1:3" ht="15">
      <c r="A746" s="90" t="s">
        <v>347</v>
      </c>
      <c r="B746" s="89" t="s">
        <v>3308</v>
      </c>
      <c r="C746" s="102" t="s">
        <v>1155</v>
      </c>
    </row>
    <row r="747" spans="1:3" ht="15">
      <c r="A747" s="90" t="s">
        <v>347</v>
      </c>
      <c r="B747" s="89" t="s">
        <v>3205</v>
      </c>
      <c r="C747" s="102" t="s">
        <v>1155</v>
      </c>
    </row>
    <row r="748" spans="1:3" ht="15">
      <c r="A748" s="90" t="s">
        <v>347</v>
      </c>
      <c r="B748" s="89" t="s">
        <v>3155</v>
      </c>
      <c r="C748" s="102" t="s">
        <v>1155</v>
      </c>
    </row>
    <row r="749" spans="1:3" ht="15">
      <c r="A749" s="90" t="s">
        <v>347</v>
      </c>
      <c r="B749" s="89" t="s">
        <v>3309</v>
      </c>
      <c r="C749" s="102" t="s">
        <v>1155</v>
      </c>
    </row>
    <row r="750" spans="1:3" ht="15">
      <c r="A750" s="90" t="s">
        <v>347</v>
      </c>
      <c r="B750" s="89" t="s">
        <v>2679</v>
      </c>
      <c r="C750" s="102" t="s">
        <v>1155</v>
      </c>
    </row>
    <row r="751" spans="1:3" ht="15">
      <c r="A751" s="90" t="s">
        <v>347</v>
      </c>
      <c r="B751" s="89" t="s">
        <v>712</v>
      </c>
      <c r="C751" s="102" t="s">
        <v>1155</v>
      </c>
    </row>
    <row r="752" spans="1:3" ht="15">
      <c r="A752" s="90" t="s">
        <v>347</v>
      </c>
      <c r="B752" s="89" t="s">
        <v>431</v>
      </c>
      <c r="C752" s="102" t="s">
        <v>1155</v>
      </c>
    </row>
    <row r="753" spans="1:3" ht="15">
      <c r="A753" s="90" t="s">
        <v>347</v>
      </c>
      <c r="B753" s="89" t="s">
        <v>3310</v>
      </c>
      <c r="C753" s="102" t="s">
        <v>1155</v>
      </c>
    </row>
    <row r="754" spans="1:3" ht="15">
      <c r="A754" s="90" t="s">
        <v>346</v>
      </c>
      <c r="B754" s="89" t="s">
        <v>3204</v>
      </c>
      <c r="C754" s="102" t="s">
        <v>1154</v>
      </c>
    </row>
    <row r="755" spans="1:3" ht="15">
      <c r="A755" s="90" t="s">
        <v>346</v>
      </c>
      <c r="B755" s="89" t="s">
        <v>2661</v>
      </c>
      <c r="C755" s="102" t="s">
        <v>1154</v>
      </c>
    </row>
    <row r="756" spans="1:3" ht="15">
      <c r="A756" s="90" t="s">
        <v>346</v>
      </c>
      <c r="B756" s="89" t="s">
        <v>3205</v>
      </c>
      <c r="C756" s="102" t="s">
        <v>1154</v>
      </c>
    </row>
    <row r="757" spans="1:3" ht="15">
      <c r="A757" s="90" t="s">
        <v>346</v>
      </c>
      <c r="B757" s="89" t="s">
        <v>3206</v>
      </c>
      <c r="C757" s="102" t="s">
        <v>1154</v>
      </c>
    </row>
    <row r="758" spans="1:3" ht="15">
      <c r="A758" s="90" t="s">
        <v>346</v>
      </c>
      <c r="B758" s="89" t="s">
        <v>3207</v>
      </c>
      <c r="C758" s="102" t="s">
        <v>1154</v>
      </c>
    </row>
    <row r="759" spans="1:3" ht="15">
      <c r="A759" s="90" t="s">
        <v>346</v>
      </c>
      <c r="B759" s="89" t="s">
        <v>2683</v>
      </c>
      <c r="C759" s="102" t="s">
        <v>1154</v>
      </c>
    </row>
    <row r="760" spans="1:3" ht="15">
      <c r="A760" s="90" t="s">
        <v>345</v>
      </c>
      <c r="B760" s="89" t="s">
        <v>335</v>
      </c>
      <c r="C760" s="102" t="s">
        <v>1152</v>
      </c>
    </row>
    <row r="761" spans="1:3" ht="15">
      <c r="A761" s="90" t="s">
        <v>345</v>
      </c>
      <c r="B761" s="89" t="s">
        <v>3441</v>
      </c>
      <c r="C761" s="102" t="s">
        <v>1152</v>
      </c>
    </row>
    <row r="762" spans="1:3" ht="15">
      <c r="A762" s="90" t="s">
        <v>345</v>
      </c>
      <c r="B762" s="89" t="s">
        <v>3442</v>
      </c>
      <c r="C762" s="102" t="s">
        <v>1152</v>
      </c>
    </row>
    <row r="763" spans="1:3" ht="15">
      <c r="A763" s="90" t="s">
        <v>345</v>
      </c>
      <c r="B763" s="89" t="s">
        <v>3204</v>
      </c>
      <c r="C763" s="102" t="s">
        <v>1152</v>
      </c>
    </row>
    <row r="764" spans="1:3" ht="15">
      <c r="A764" s="90" t="s">
        <v>345</v>
      </c>
      <c r="B764" s="89" t="s">
        <v>3141</v>
      </c>
      <c r="C764" s="102" t="s">
        <v>1152</v>
      </c>
    </row>
    <row r="765" spans="1:3" ht="15">
      <c r="A765" s="90" t="s">
        <v>345</v>
      </c>
      <c r="B765" s="89" t="s">
        <v>3443</v>
      </c>
      <c r="C765" s="102" t="s">
        <v>1152</v>
      </c>
    </row>
    <row r="766" spans="1:3" ht="15">
      <c r="A766" s="90" t="s">
        <v>345</v>
      </c>
      <c r="B766" s="89" t="s">
        <v>2746</v>
      </c>
      <c r="C766" s="102" t="s">
        <v>1152</v>
      </c>
    </row>
    <row r="767" spans="1:3" ht="15">
      <c r="A767" s="90" t="s">
        <v>345</v>
      </c>
      <c r="B767" s="89" t="s">
        <v>3137</v>
      </c>
      <c r="C767" s="102" t="s">
        <v>1152</v>
      </c>
    </row>
    <row r="768" spans="1:3" ht="15">
      <c r="A768" s="90" t="s">
        <v>345</v>
      </c>
      <c r="B768" s="89" t="s">
        <v>3444</v>
      </c>
      <c r="C768" s="102" t="s">
        <v>1152</v>
      </c>
    </row>
    <row r="769" spans="1:3" ht="15">
      <c r="A769" s="90" t="s">
        <v>345</v>
      </c>
      <c r="B769" s="89" t="s">
        <v>3445</v>
      </c>
      <c r="C769" s="102" t="s">
        <v>1152</v>
      </c>
    </row>
    <row r="770" spans="1:3" ht="15">
      <c r="A770" s="90" t="s">
        <v>345</v>
      </c>
      <c r="B770" s="89" t="s">
        <v>3320</v>
      </c>
      <c r="C770" s="102" t="s">
        <v>1152</v>
      </c>
    </row>
    <row r="771" spans="1:3" ht="15">
      <c r="A771" s="90" t="s">
        <v>345</v>
      </c>
      <c r="B771" s="89" t="s">
        <v>3201</v>
      </c>
      <c r="C771" s="102" t="s">
        <v>1152</v>
      </c>
    </row>
    <row r="772" spans="1:3" ht="15">
      <c r="A772" s="90" t="s">
        <v>345</v>
      </c>
      <c r="B772" s="89" t="s">
        <v>3155</v>
      </c>
      <c r="C772" s="102" t="s">
        <v>1152</v>
      </c>
    </row>
    <row r="773" spans="1:3" ht="15">
      <c r="A773" s="90" t="s">
        <v>345</v>
      </c>
      <c r="B773" s="89" t="s">
        <v>3446</v>
      </c>
      <c r="C773" s="102" t="s">
        <v>1152</v>
      </c>
    </row>
    <row r="774" spans="1:3" ht="15">
      <c r="A774" s="90" t="s">
        <v>345</v>
      </c>
      <c r="B774" s="89" t="s">
        <v>2840</v>
      </c>
      <c r="C774" s="102" t="s">
        <v>1152</v>
      </c>
    </row>
    <row r="775" spans="1:3" ht="15">
      <c r="A775" s="90" t="s">
        <v>345</v>
      </c>
      <c r="B775" s="89" t="s">
        <v>3441</v>
      </c>
      <c r="C775" s="102" t="s">
        <v>1151</v>
      </c>
    </row>
    <row r="776" spans="1:3" ht="15">
      <c r="A776" s="90" t="s">
        <v>345</v>
      </c>
      <c r="B776" s="89" t="s">
        <v>335</v>
      </c>
      <c r="C776" s="102" t="s">
        <v>1151</v>
      </c>
    </row>
    <row r="777" spans="1:3" ht="15">
      <c r="A777" s="90" t="s">
        <v>345</v>
      </c>
      <c r="B777" s="89" t="s">
        <v>3442</v>
      </c>
      <c r="C777" s="102" t="s">
        <v>1151</v>
      </c>
    </row>
    <row r="778" spans="1:3" ht="15">
      <c r="A778" s="90" t="s">
        <v>345</v>
      </c>
      <c r="B778" s="89" t="s">
        <v>3204</v>
      </c>
      <c r="C778" s="102" t="s">
        <v>1151</v>
      </c>
    </row>
    <row r="779" spans="1:3" ht="15">
      <c r="A779" s="90" t="s">
        <v>345</v>
      </c>
      <c r="B779" s="89" t="s">
        <v>3141</v>
      </c>
      <c r="C779" s="102" t="s">
        <v>1151</v>
      </c>
    </row>
    <row r="780" spans="1:3" ht="15">
      <c r="A780" s="90" t="s">
        <v>345</v>
      </c>
      <c r="B780" s="89" t="s">
        <v>2767</v>
      </c>
      <c r="C780" s="102" t="s">
        <v>1151</v>
      </c>
    </row>
    <row r="781" spans="1:3" ht="15">
      <c r="A781" s="90" t="s">
        <v>345</v>
      </c>
      <c r="B781" s="89" t="s">
        <v>3286</v>
      </c>
      <c r="C781" s="102" t="s">
        <v>1151</v>
      </c>
    </row>
    <row r="782" spans="1:3" ht="15">
      <c r="A782" s="90" t="s">
        <v>345</v>
      </c>
      <c r="B782" s="89" t="s">
        <v>3447</v>
      </c>
      <c r="C782" s="102" t="s">
        <v>1151</v>
      </c>
    </row>
    <row r="783" spans="1:3" ht="15">
      <c r="A783" s="90" t="s">
        <v>345</v>
      </c>
      <c r="B783" s="89">
        <v>2015</v>
      </c>
      <c r="C783" s="102" t="s">
        <v>1151</v>
      </c>
    </row>
    <row r="784" spans="1:3" ht="15">
      <c r="A784" s="90" t="s">
        <v>345</v>
      </c>
      <c r="B784" s="89" t="s">
        <v>3137</v>
      </c>
      <c r="C784" s="102" t="s">
        <v>1151</v>
      </c>
    </row>
    <row r="785" spans="1:3" ht="15">
      <c r="A785" s="90" t="s">
        <v>345</v>
      </c>
      <c r="B785" s="89" t="s">
        <v>2959</v>
      </c>
      <c r="C785" s="102" t="s">
        <v>1151</v>
      </c>
    </row>
    <row r="786" spans="1:3" ht="15">
      <c r="A786" s="90" t="s">
        <v>345</v>
      </c>
      <c r="B786" s="89" t="s">
        <v>2960</v>
      </c>
      <c r="C786" s="102" t="s">
        <v>1151</v>
      </c>
    </row>
    <row r="787" spans="1:3" ht="15">
      <c r="A787" s="90" t="s">
        <v>345</v>
      </c>
      <c r="B787" s="89" t="s">
        <v>3448</v>
      </c>
      <c r="C787" s="102" t="s">
        <v>1151</v>
      </c>
    </row>
    <row r="788" spans="1:3" ht="15">
      <c r="A788" s="90" t="s">
        <v>345</v>
      </c>
      <c r="B788" s="89" t="s">
        <v>2738</v>
      </c>
      <c r="C788" s="102" t="s">
        <v>1151</v>
      </c>
    </row>
    <row r="789" spans="1:3" ht="15">
      <c r="A789" s="90" t="s">
        <v>345</v>
      </c>
      <c r="B789" s="89">
        <v>19</v>
      </c>
      <c r="C789" s="102" t="s">
        <v>1151</v>
      </c>
    </row>
    <row r="790" spans="1:3" ht="15">
      <c r="A790" s="90" t="s">
        <v>345</v>
      </c>
      <c r="B790" s="89" t="s">
        <v>3385</v>
      </c>
      <c r="C790" s="102" t="s">
        <v>1151</v>
      </c>
    </row>
    <row r="791" spans="1:3" ht="15">
      <c r="A791" s="90" t="s">
        <v>345</v>
      </c>
      <c r="B791" s="89" t="s">
        <v>3449</v>
      </c>
      <c r="C791" s="102" t="s">
        <v>1151</v>
      </c>
    </row>
    <row r="792" spans="1:3" ht="15">
      <c r="A792" s="90" t="s">
        <v>345</v>
      </c>
      <c r="B792" s="89" t="s">
        <v>3284</v>
      </c>
      <c r="C792" s="102" t="s">
        <v>1151</v>
      </c>
    </row>
    <row r="793" spans="1:3" ht="15">
      <c r="A793" s="90" t="s">
        <v>345</v>
      </c>
      <c r="B793" s="89" t="s">
        <v>3295</v>
      </c>
      <c r="C793" s="102" t="s">
        <v>1151</v>
      </c>
    </row>
    <row r="794" spans="1:3" ht="15">
      <c r="A794" s="90" t="s">
        <v>345</v>
      </c>
      <c r="B794" s="89" t="s">
        <v>3340</v>
      </c>
      <c r="C794" s="102" t="s">
        <v>1151</v>
      </c>
    </row>
    <row r="795" spans="1:3" ht="15">
      <c r="A795" s="90" t="s">
        <v>345</v>
      </c>
      <c r="B795" s="89" t="s">
        <v>3450</v>
      </c>
      <c r="C795" s="102" t="s">
        <v>1151</v>
      </c>
    </row>
    <row r="796" spans="1:3" ht="15">
      <c r="A796" s="90" t="s">
        <v>345</v>
      </c>
      <c r="B796" s="89" t="s">
        <v>3451</v>
      </c>
      <c r="C796" s="102" t="s">
        <v>1151</v>
      </c>
    </row>
    <row r="797" spans="1:3" ht="15">
      <c r="A797" s="90" t="s">
        <v>345</v>
      </c>
      <c r="B797" s="89" t="s">
        <v>3255</v>
      </c>
      <c r="C797" s="102" t="s">
        <v>1151</v>
      </c>
    </row>
    <row r="798" spans="1:3" ht="15">
      <c r="A798" s="90" t="s">
        <v>345</v>
      </c>
      <c r="B798" s="89" t="s">
        <v>2778</v>
      </c>
      <c r="C798" s="102" t="s">
        <v>1151</v>
      </c>
    </row>
    <row r="799" spans="1:3" ht="15">
      <c r="A799" s="90" t="s">
        <v>345</v>
      </c>
      <c r="B799" s="89" t="s">
        <v>3452</v>
      </c>
      <c r="C799" s="102" t="s">
        <v>1151</v>
      </c>
    </row>
    <row r="800" spans="1:3" ht="15">
      <c r="A800" s="90" t="s">
        <v>345</v>
      </c>
      <c r="B800" s="89" t="s">
        <v>3453</v>
      </c>
      <c r="C800" s="102" t="s">
        <v>1151</v>
      </c>
    </row>
    <row r="801" spans="1:3" ht="15">
      <c r="A801" s="90" t="s">
        <v>344</v>
      </c>
      <c r="B801" s="89" t="s">
        <v>385</v>
      </c>
      <c r="C801" s="102" t="s">
        <v>1150</v>
      </c>
    </row>
    <row r="802" spans="1:3" ht="15">
      <c r="A802" s="90" t="s">
        <v>344</v>
      </c>
      <c r="B802" s="89" t="s">
        <v>3454</v>
      </c>
      <c r="C802" s="102" t="s">
        <v>1150</v>
      </c>
    </row>
    <row r="803" spans="1:3" ht="15">
      <c r="A803" s="90" t="s">
        <v>344</v>
      </c>
      <c r="B803" s="89" t="s">
        <v>3455</v>
      </c>
      <c r="C803" s="102" t="s">
        <v>1150</v>
      </c>
    </row>
    <row r="804" spans="1:3" ht="15">
      <c r="A804" s="90" t="s">
        <v>344</v>
      </c>
      <c r="B804" s="89" t="s">
        <v>2948</v>
      </c>
      <c r="C804" s="102" t="s">
        <v>1150</v>
      </c>
    </row>
    <row r="805" spans="1:3" ht="15">
      <c r="A805" s="90" t="s">
        <v>344</v>
      </c>
      <c r="B805" s="89" t="s">
        <v>3456</v>
      </c>
      <c r="C805" s="102" t="s">
        <v>1150</v>
      </c>
    </row>
    <row r="806" spans="1:3" ht="15">
      <c r="A806" s="90" t="s">
        <v>344</v>
      </c>
      <c r="B806" s="89" t="s">
        <v>3457</v>
      </c>
      <c r="C806" s="102" t="s">
        <v>1150</v>
      </c>
    </row>
    <row r="807" spans="1:3" ht="15">
      <c r="A807" s="90" t="s">
        <v>344</v>
      </c>
      <c r="B807" s="89" t="s">
        <v>3458</v>
      </c>
      <c r="C807" s="102" t="s">
        <v>1150</v>
      </c>
    </row>
    <row r="808" spans="1:3" ht="15">
      <c r="A808" s="90" t="s">
        <v>344</v>
      </c>
      <c r="B808" s="89" t="s">
        <v>3459</v>
      </c>
      <c r="C808" s="102" t="s">
        <v>1150</v>
      </c>
    </row>
    <row r="809" spans="1:3" ht="15">
      <c r="A809" s="90" t="s">
        <v>344</v>
      </c>
      <c r="B809" s="89" t="s">
        <v>712</v>
      </c>
      <c r="C809" s="102" t="s">
        <v>1150</v>
      </c>
    </row>
    <row r="810" spans="1:3" ht="15">
      <c r="A810" s="90" t="s">
        <v>344</v>
      </c>
      <c r="B810" s="89" t="s">
        <v>2661</v>
      </c>
      <c r="C810" s="102" t="s">
        <v>1150</v>
      </c>
    </row>
    <row r="811" spans="1:3" ht="15">
      <c r="A811" s="90" t="s">
        <v>344</v>
      </c>
      <c r="B811" s="89" t="s">
        <v>3460</v>
      </c>
      <c r="C811" s="102" t="s">
        <v>1150</v>
      </c>
    </row>
    <row r="812" spans="1:3" ht="15">
      <c r="A812" s="90" t="s">
        <v>344</v>
      </c>
      <c r="B812" s="89" t="s">
        <v>2939</v>
      </c>
      <c r="C812" s="102" t="s">
        <v>1150</v>
      </c>
    </row>
    <row r="813" spans="1:3" ht="15">
      <c r="A813" s="90" t="s">
        <v>344</v>
      </c>
      <c r="B813" s="89" t="s">
        <v>3137</v>
      </c>
      <c r="C813" s="102" t="s">
        <v>1150</v>
      </c>
    </row>
    <row r="814" spans="1:3" ht="15">
      <c r="A814" s="90" t="s">
        <v>344</v>
      </c>
      <c r="B814" s="89" t="s">
        <v>3461</v>
      </c>
      <c r="C814" s="102" t="s">
        <v>1150</v>
      </c>
    </row>
    <row r="815" spans="1:3" ht="15">
      <c r="A815" s="90" t="s">
        <v>344</v>
      </c>
      <c r="B815" s="89" t="s">
        <v>3462</v>
      </c>
      <c r="C815" s="102" t="s">
        <v>1150</v>
      </c>
    </row>
    <row r="816" spans="1:3" ht="15">
      <c r="A816" s="90" t="s">
        <v>344</v>
      </c>
      <c r="B816" s="89" t="s">
        <v>3299</v>
      </c>
      <c r="C816" s="102" t="s">
        <v>1150</v>
      </c>
    </row>
    <row r="817" spans="1:3" ht="15">
      <c r="A817" s="90" t="s">
        <v>344</v>
      </c>
      <c r="B817" s="89" t="s">
        <v>3179</v>
      </c>
      <c r="C817" s="102" t="s">
        <v>1150</v>
      </c>
    </row>
    <row r="818" spans="1:3" ht="15">
      <c r="A818" s="90" t="s">
        <v>344</v>
      </c>
      <c r="B818" s="89" t="s">
        <v>3155</v>
      </c>
      <c r="C818" s="102" t="s">
        <v>1150</v>
      </c>
    </row>
    <row r="819" spans="1:3" ht="15">
      <c r="A819" s="90" t="s">
        <v>344</v>
      </c>
      <c r="B819" s="89" t="s">
        <v>3180</v>
      </c>
      <c r="C819" s="102" t="s">
        <v>1150</v>
      </c>
    </row>
    <row r="820" spans="1:3" ht="15">
      <c r="A820" s="90" t="s">
        <v>344</v>
      </c>
      <c r="B820" s="89" t="s">
        <v>3298</v>
      </c>
      <c r="C820" s="102" t="s">
        <v>1150</v>
      </c>
    </row>
    <row r="821" spans="1:3" ht="15">
      <c r="A821" s="90" t="s">
        <v>344</v>
      </c>
      <c r="B821" s="89" t="s">
        <v>3463</v>
      </c>
      <c r="C821" s="102" t="s">
        <v>1150</v>
      </c>
    </row>
    <row r="822" spans="1:3" ht="15">
      <c r="A822" s="90" t="s">
        <v>344</v>
      </c>
      <c r="B822" s="89" t="s">
        <v>3464</v>
      </c>
      <c r="C822" s="102" t="s">
        <v>1150</v>
      </c>
    </row>
    <row r="823" spans="1:3" ht="15">
      <c r="A823" s="90" t="s">
        <v>344</v>
      </c>
      <c r="B823" s="89" t="s">
        <v>3227</v>
      </c>
      <c r="C823" s="102" t="s">
        <v>1150</v>
      </c>
    </row>
    <row r="824" spans="1:3" ht="15">
      <c r="A824" s="90" t="s">
        <v>344</v>
      </c>
      <c r="B824" s="89" t="s">
        <v>3465</v>
      </c>
      <c r="C824" s="102" t="s">
        <v>1150</v>
      </c>
    </row>
    <row r="825" spans="1:3" ht="15">
      <c r="A825" s="90" t="s">
        <v>344</v>
      </c>
      <c r="B825" s="89" t="s">
        <v>3141</v>
      </c>
      <c r="C825" s="102" t="s">
        <v>1150</v>
      </c>
    </row>
    <row r="826" spans="1:3" ht="15">
      <c r="A826" s="90" t="s">
        <v>344</v>
      </c>
      <c r="B826" s="89" t="s">
        <v>2747</v>
      </c>
      <c r="C826" s="102" t="s">
        <v>1150</v>
      </c>
    </row>
    <row r="827" spans="1:3" ht="15">
      <c r="A827" s="90" t="s">
        <v>344</v>
      </c>
      <c r="B827" s="89" t="s">
        <v>3466</v>
      </c>
      <c r="C827" s="102" t="s">
        <v>1150</v>
      </c>
    </row>
    <row r="828" spans="1:3" ht="15">
      <c r="A828" s="90" t="s">
        <v>344</v>
      </c>
      <c r="B828" s="89" t="s">
        <v>3467</v>
      </c>
      <c r="C828" s="102" t="s">
        <v>1150</v>
      </c>
    </row>
    <row r="829" spans="1:3" ht="15">
      <c r="A829" s="90" t="s">
        <v>344</v>
      </c>
      <c r="B829" s="89" t="s">
        <v>3468</v>
      </c>
      <c r="C829" s="102" t="s">
        <v>1150</v>
      </c>
    </row>
    <row r="830" spans="1:3" ht="15">
      <c r="A830" s="90" t="s">
        <v>344</v>
      </c>
      <c r="B830" s="89" t="s">
        <v>3469</v>
      </c>
      <c r="C830" s="102" t="s">
        <v>1150</v>
      </c>
    </row>
    <row r="831" spans="1:3" ht="15">
      <c r="A831" s="90" t="s">
        <v>344</v>
      </c>
      <c r="B831" s="89" t="s">
        <v>3263</v>
      </c>
      <c r="C831" s="102" t="s">
        <v>1150</v>
      </c>
    </row>
    <row r="832" spans="1:3" ht="15">
      <c r="A832" s="90" t="s">
        <v>344</v>
      </c>
      <c r="B832" s="89" t="s">
        <v>3470</v>
      </c>
      <c r="C832" s="102" t="s">
        <v>1150</v>
      </c>
    </row>
    <row r="833" spans="1:3" ht="15">
      <c r="A833" s="90" t="s">
        <v>344</v>
      </c>
      <c r="B833" s="89" t="s">
        <v>3471</v>
      </c>
      <c r="C833" s="102" t="s">
        <v>1150</v>
      </c>
    </row>
    <row r="834" spans="1:3" ht="15">
      <c r="A834" s="90" t="s">
        <v>343</v>
      </c>
      <c r="B834" s="89" t="s">
        <v>3472</v>
      </c>
      <c r="C834" s="102" t="s">
        <v>1149</v>
      </c>
    </row>
    <row r="835" spans="1:3" ht="15">
      <c r="A835" s="90" t="s">
        <v>343</v>
      </c>
      <c r="B835" s="89" t="s">
        <v>3473</v>
      </c>
      <c r="C835" s="102" t="s">
        <v>1149</v>
      </c>
    </row>
    <row r="836" spans="1:3" ht="15">
      <c r="A836" s="90" t="s">
        <v>343</v>
      </c>
      <c r="B836" s="89" t="s">
        <v>3474</v>
      </c>
      <c r="C836" s="102" t="s">
        <v>1149</v>
      </c>
    </row>
    <row r="837" spans="1:3" ht="15">
      <c r="A837" s="90" t="s">
        <v>343</v>
      </c>
      <c r="B837" s="89" t="s">
        <v>3475</v>
      </c>
      <c r="C837" s="102" t="s">
        <v>1149</v>
      </c>
    </row>
    <row r="838" spans="1:3" ht="15">
      <c r="A838" s="90" t="s">
        <v>343</v>
      </c>
      <c r="B838" s="89" t="s">
        <v>3476</v>
      </c>
      <c r="C838" s="102" t="s">
        <v>1149</v>
      </c>
    </row>
    <row r="839" spans="1:3" ht="15">
      <c r="A839" s="90" t="s">
        <v>343</v>
      </c>
      <c r="B839" s="89" t="s">
        <v>3165</v>
      </c>
      <c r="C839" s="102" t="s">
        <v>1149</v>
      </c>
    </row>
    <row r="840" spans="1:3" ht="15">
      <c r="A840" s="90" t="s">
        <v>343</v>
      </c>
      <c r="B840" s="89" t="s">
        <v>3347</v>
      </c>
      <c r="C840" s="102" t="s">
        <v>1149</v>
      </c>
    </row>
    <row r="841" spans="1:3" ht="15">
      <c r="A841" s="90" t="s">
        <v>343</v>
      </c>
      <c r="B841" s="89" t="s">
        <v>3141</v>
      </c>
      <c r="C841" s="102" t="s">
        <v>1149</v>
      </c>
    </row>
    <row r="842" spans="1:3" ht="15">
      <c r="A842" s="90" t="s">
        <v>343</v>
      </c>
      <c r="B842" s="89" t="s">
        <v>2746</v>
      </c>
      <c r="C842" s="102" t="s">
        <v>1149</v>
      </c>
    </row>
    <row r="843" spans="1:3" ht="15">
      <c r="A843" s="90" t="s">
        <v>343</v>
      </c>
      <c r="B843" s="89" t="s">
        <v>3204</v>
      </c>
      <c r="C843" s="102" t="s">
        <v>1149</v>
      </c>
    </row>
    <row r="844" spans="1:3" ht="15">
      <c r="A844" s="90" t="s">
        <v>343</v>
      </c>
      <c r="B844" s="89" t="s">
        <v>2961</v>
      </c>
      <c r="C844" s="102" t="s">
        <v>1149</v>
      </c>
    </row>
    <row r="845" spans="1:3" ht="15">
      <c r="A845" s="90" t="s">
        <v>343</v>
      </c>
      <c r="B845" s="89" t="s">
        <v>3477</v>
      </c>
      <c r="C845" s="102" t="s">
        <v>1149</v>
      </c>
    </row>
    <row r="846" spans="1:3" ht="15">
      <c r="A846" s="90" t="s">
        <v>343</v>
      </c>
      <c r="B846" s="89" t="s">
        <v>3478</v>
      </c>
      <c r="C846" s="102" t="s">
        <v>1149</v>
      </c>
    </row>
    <row r="847" spans="1:3" ht="15">
      <c r="A847" s="90" t="s">
        <v>343</v>
      </c>
      <c r="B847" s="89" t="s">
        <v>3479</v>
      </c>
      <c r="C847" s="102" t="s">
        <v>1149</v>
      </c>
    </row>
    <row r="848" spans="1:3" ht="15">
      <c r="A848" s="90" t="s">
        <v>343</v>
      </c>
      <c r="B848" s="89" t="s">
        <v>3211</v>
      </c>
      <c r="C848" s="102" t="s">
        <v>1149</v>
      </c>
    </row>
    <row r="849" spans="1:3" ht="15">
      <c r="A849" s="90" t="s">
        <v>343</v>
      </c>
      <c r="B849" s="89" t="s">
        <v>3480</v>
      </c>
      <c r="C849" s="102" t="s">
        <v>1149</v>
      </c>
    </row>
    <row r="850" spans="1:3" ht="15">
      <c r="A850" s="90" t="s">
        <v>343</v>
      </c>
      <c r="B850" s="89" t="s">
        <v>3481</v>
      </c>
      <c r="C850" s="102" t="s">
        <v>1149</v>
      </c>
    </row>
    <row r="851" spans="1:3" ht="15">
      <c r="A851" s="90" t="s">
        <v>343</v>
      </c>
      <c r="B851" s="89">
        <v>6</v>
      </c>
      <c r="C851" s="102" t="s">
        <v>1149</v>
      </c>
    </row>
    <row r="852" spans="1:3" ht="15">
      <c r="A852" s="90" t="s">
        <v>343</v>
      </c>
      <c r="B852" s="89" t="s">
        <v>3482</v>
      </c>
      <c r="C852" s="102" t="s">
        <v>1149</v>
      </c>
    </row>
    <row r="853" spans="1:3" ht="15">
      <c r="A853" s="90" t="s">
        <v>343</v>
      </c>
      <c r="B853" s="89" t="s">
        <v>3483</v>
      </c>
      <c r="C853" s="102" t="s">
        <v>1149</v>
      </c>
    </row>
    <row r="854" spans="1:3" ht="15">
      <c r="A854" s="90" t="s">
        <v>343</v>
      </c>
      <c r="B854" s="89" t="s">
        <v>3484</v>
      </c>
      <c r="C854" s="102" t="s">
        <v>1149</v>
      </c>
    </row>
    <row r="855" spans="1:3" ht="15">
      <c r="A855" s="90" t="s">
        <v>343</v>
      </c>
      <c r="B855" s="89" t="s">
        <v>2731</v>
      </c>
      <c r="C855" s="102" t="s">
        <v>1149</v>
      </c>
    </row>
    <row r="856" spans="1:3" ht="15">
      <c r="A856" s="90" t="s">
        <v>343</v>
      </c>
      <c r="B856" s="89" t="s">
        <v>3485</v>
      </c>
      <c r="C856" s="102" t="s">
        <v>1149</v>
      </c>
    </row>
    <row r="857" spans="1:3" ht="15">
      <c r="A857" s="90" t="s">
        <v>343</v>
      </c>
      <c r="B857" s="89" t="s">
        <v>3486</v>
      </c>
      <c r="C857" s="102" t="s">
        <v>1149</v>
      </c>
    </row>
    <row r="858" spans="1:3" ht="15">
      <c r="A858" s="90" t="s">
        <v>343</v>
      </c>
      <c r="B858" s="89" t="s">
        <v>3487</v>
      </c>
      <c r="C858" s="102" t="s">
        <v>1149</v>
      </c>
    </row>
    <row r="859" spans="1:3" ht="15">
      <c r="A859" s="90" t="s">
        <v>343</v>
      </c>
      <c r="B859" s="89" t="s">
        <v>2962</v>
      </c>
      <c r="C859" s="102" t="s">
        <v>1149</v>
      </c>
    </row>
    <row r="860" spans="1:3" ht="15">
      <c r="A860" s="90" t="s">
        <v>343</v>
      </c>
      <c r="B860" s="89" t="s">
        <v>3217</v>
      </c>
      <c r="C860" s="102" t="s">
        <v>1149</v>
      </c>
    </row>
    <row r="861" spans="1:3" ht="15">
      <c r="A861" s="90" t="s">
        <v>343</v>
      </c>
      <c r="B861" s="89" t="s">
        <v>3137</v>
      </c>
      <c r="C861" s="102" t="s">
        <v>1149</v>
      </c>
    </row>
    <row r="862" spans="1:3" ht="15">
      <c r="A862" s="90" t="s">
        <v>343</v>
      </c>
      <c r="B862" s="89" t="s">
        <v>3488</v>
      </c>
      <c r="C862" s="102" t="s">
        <v>1149</v>
      </c>
    </row>
    <row r="863" spans="1:3" ht="15">
      <c r="A863" s="90" t="s">
        <v>343</v>
      </c>
      <c r="B863" s="89" t="s">
        <v>3489</v>
      </c>
      <c r="C863" s="102" t="s">
        <v>1149</v>
      </c>
    </row>
    <row r="864" spans="1:3" ht="15">
      <c r="A864" s="90" t="s">
        <v>342</v>
      </c>
      <c r="B864" s="89" t="s">
        <v>3278</v>
      </c>
      <c r="C864" s="102" t="s">
        <v>1148</v>
      </c>
    </row>
    <row r="865" spans="1:3" ht="15">
      <c r="A865" s="90" t="s">
        <v>342</v>
      </c>
      <c r="B865" s="89" t="s">
        <v>2816</v>
      </c>
      <c r="C865" s="102" t="s">
        <v>1148</v>
      </c>
    </row>
    <row r="866" spans="1:3" ht="15">
      <c r="A866" s="90" t="s">
        <v>342</v>
      </c>
      <c r="B866" s="89" t="s">
        <v>712</v>
      </c>
      <c r="C866" s="102" t="s">
        <v>1148</v>
      </c>
    </row>
    <row r="867" spans="1:3" ht="15">
      <c r="A867" s="90" t="s">
        <v>342</v>
      </c>
      <c r="B867" s="89" t="s">
        <v>2964</v>
      </c>
      <c r="C867" s="102" t="s">
        <v>1148</v>
      </c>
    </row>
    <row r="868" spans="1:3" ht="15">
      <c r="A868" s="90" t="s">
        <v>342</v>
      </c>
      <c r="B868" s="89" t="s">
        <v>2965</v>
      </c>
      <c r="C868" s="102" t="s">
        <v>1148</v>
      </c>
    </row>
    <row r="869" spans="1:3" ht="15">
      <c r="A869" s="90" t="s">
        <v>342</v>
      </c>
      <c r="B869" s="89" t="s">
        <v>2966</v>
      </c>
      <c r="C869" s="102" t="s">
        <v>1148</v>
      </c>
    </row>
    <row r="870" spans="1:3" ht="15">
      <c r="A870" s="90" t="s">
        <v>342</v>
      </c>
      <c r="B870" s="89" t="s">
        <v>2739</v>
      </c>
      <c r="C870" s="102" t="s">
        <v>1148</v>
      </c>
    </row>
    <row r="871" spans="1:3" ht="15">
      <c r="A871" s="90" t="s">
        <v>342</v>
      </c>
      <c r="B871" s="89" t="s">
        <v>3490</v>
      </c>
      <c r="C871" s="102" t="s">
        <v>1148</v>
      </c>
    </row>
    <row r="872" spans="1:3" ht="15">
      <c r="A872" s="90" t="s">
        <v>342</v>
      </c>
      <c r="B872" s="89" t="s">
        <v>3491</v>
      </c>
      <c r="C872" s="102" t="s">
        <v>1148</v>
      </c>
    </row>
    <row r="873" spans="1:3" ht="15">
      <c r="A873" s="90" t="s">
        <v>342</v>
      </c>
      <c r="B873" s="89" t="s">
        <v>2841</v>
      </c>
      <c r="C873" s="102" t="s">
        <v>1148</v>
      </c>
    </row>
    <row r="874" spans="1:3" ht="15">
      <c r="A874" s="90" t="s">
        <v>342</v>
      </c>
      <c r="B874" s="89" t="s">
        <v>3304</v>
      </c>
      <c r="C874" s="102" t="s">
        <v>1148</v>
      </c>
    </row>
    <row r="875" spans="1:3" ht="15">
      <c r="A875" s="90" t="s">
        <v>367</v>
      </c>
      <c r="B875" s="89" t="s">
        <v>385</v>
      </c>
      <c r="C875" s="102" t="s">
        <v>1195</v>
      </c>
    </row>
    <row r="876" spans="1:3" ht="15">
      <c r="A876" s="90" t="s">
        <v>367</v>
      </c>
      <c r="B876" s="89" t="s">
        <v>494</v>
      </c>
      <c r="C876" s="102" t="s">
        <v>1195</v>
      </c>
    </row>
    <row r="877" spans="1:3" ht="15">
      <c r="A877" s="90" t="s">
        <v>367</v>
      </c>
      <c r="B877" s="89" t="s">
        <v>712</v>
      </c>
      <c r="C877" s="102" t="s">
        <v>1195</v>
      </c>
    </row>
    <row r="878" spans="1:3" ht="15">
      <c r="A878" s="90" t="s">
        <v>367</v>
      </c>
      <c r="B878" s="89" t="s">
        <v>385</v>
      </c>
      <c r="C878" s="102" t="s">
        <v>1194</v>
      </c>
    </row>
    <row r="879" spans="1:3" ht="15">
      <c r="A879" s="90" t="s">
        <v>367</v>
      </c>
      <c r="B879" s="89" t="s">
        <v>494</v>
      </c>
      <c r="C879" s="102" t="s">
        <v>1194</v>
      </c>
    </row>
    <row r="880" spans="1:3" ht="15">
      <c r="A880" s="90" t="s">
        <v>367</v>
      </c>
      <c r="B880" s="89" t="s">
        <v>712</v>
      </c>
      <c r="C880" s="102" t="s">
        <v>1194</v>
      </c>
    </row>
    <row r="881" spans="1:3" ht="15">
      <c r="A881" s="90" t="s">
        <v>341</v>
      </c>
      <c r="B881" s="89" t="s">
        <v>3492</v>
      </c>
      <c r="C881" s="102" t="s">
        <v>1146</v>
      </c>
    </row>
    <row r="882" spans="1:3" ht="15">
      <c r="A882" s="90" t="s">
        <v>341</v>
      </c>
      <c r="B882" s="89" t="s">
        <v>385</v>
      </c>
      <c r="C882" s="102" t="s">
        <v>1146</v>
      </c>
    </row>
    <row r="883" spans="1:3" ht="15">
      <c r="A883" s="90" t="s">
        <v>341</v>
      </c>
      <c r="B883" s="89" t="s">
        <v>494</v>
      </c>
      <c r="C883" s="102" t="s">
        <v>1146</v>
      </c>
    </row>
    <row r="884" spans="1:3" ht="15">
      <c r="A884" s="90" t="s">
        <v>341</v>
      </c>
      <c r="B884" s="89" t="s">
        <v>3493</v>
      </c>
      <c r="C884" s="102" t="s">
        <v>1146</v>
      </c>
    </row>
    <row r="885" spans="1:3" ht="15">
      <c r="A885" s="90" t="s">
        <v>341</v>
      </c>
      <c r="B885" s="89" t="s">
        <v>3155</v>
      </c>
      <c r="C885" s="102" t="s">
        <v>1146</v>
      </c>
    </row>
    <row r="886" spans="1:3" ht="15">
      <c r="A886" s="90" t="s">
        <v>341</v>
      </c>
      <c r="B886" s="89" t="s">
        <v>3309</v>
      </c>
      <c r="C886" s="102" t="s">
        <v>1146</v>
      </c>
    </row>
    <row r="887" spans="1:3" ht="15">
      <c r="A887" s="90" t="s">
        <v>341</v>
      </c>
      <c r="B887" s="89" t="s">
        <v>3494</v>
      </c>
      <c r="C887" s="102" t="s">
        <v>1146</v>
      </c>
    </row>
    <row r="888" spans="1:3" ht="15">
      <c r="A888" s="90" t="s">
        <v>341</v>
      </c>
      <c r="B888" s="89" t="s">
        <v>3495</v>
      </c>
      <c r="C888" s="102" t="s">
        <v>1146</v>
      </c>
    </row>
    <row r="889" spans="1:3" ht="15">
      <c r="A889" s="90" t="s">
        <v>341</v>
      </c>
      <c r="B889" s="89" t="s">
        <v>3496</v>
      </c>
      <c r="C889" s="102" t="s">
        <v>1146</v>
      </c>
    </row>
    <row r="890" spans="1:3" ht="15">
      <c r="A890" s="90" t="s">
        <v>341</v>
      </c>
      <c r="B890" s="89" t="s">
        <v>3497</v>
      </c>
      <c r="C890" s="102" t="s">
        <v>1146</v>
      </c>
    </row>
    <row r="891" spans="1:3" ht="15">
      <c r="A891" s="90" t="s">
        <v>341</v>
      </c>
      <c r="B891" s="89" t="s">
        <v>3498</v>
      </c>
      <c r="C891" s="102" t="s">
        <v>1146</v>
      </c>
    </row>
    <row r="892" spans="1:3" ht="15">
      <c r="A892" s="90" t="s">
        <v>341</v>
      </c>
      <c r="B892" s="89" t="s">
        <v>3180</v>
      </c>
      <c r="C892" s="102" t="s">
        <v>1146</v>
      </c>
    </row>
    <row r="893" spans="1:3" ht="15">
      <c r="A893" s="90" t="s">
        <v>341</v>
      </c>
      <c r="B893" s="89" t="s">
        <v>3169</v>
      </c>
      <c r="C893" s="102" t="s">
        <v>1146</v>
      </c>
    </row>
    <row r="894" spans="1:3" ht="15">
      <c r="A894" s="90" t="s">
        <v>341</v>
      </c>
      <c r="B894" s="89" t="s">
        <v>3499</v>
      </c>
      <c r="C894" s="102" t="s">
        <v>1146</v>
      </c>
    </row>
    <row r="895" spans="1:3" ht="15">
      <c r="A895" s="90" t="s">
        <v>341</v>
      </c>
      <c r="B895" s="89" t="s">
        <v>3500</v>
      </c>
      <c r="C895" s="102" t="s">
        <v>1146</v>
      </c>
    </row>
    <row r="896" spans="1:3" ht="15">
      <c r="A896" s="90" t="s">
        <v>341</v>
      </c>
      <c r="B896" s="89" t="s">
        <v>3501</v>
      </c>
      <c r="C896" s="102" t="s">
        <v>1146</v>
      </c>
    </row>
    <row r="897" spans="1:3" ht="15">
      <c r="A897" s="90" t="s">
        <v>341</v>
      </c>
      <c r="B897" s="89" t="s">
        <v>3502</v>
      </c>
      <c r="C897" s="102" t="s">
        <v>1146</v>
      </c>
    </row>
    <row r="898" spans="1:3" ht="15">
      <c r="A898" s="90" t="s">
        <v>341</v>
      </c>
      <c r="B898" s="89" t="s">
        <v>3165</v>
      </c>
      <c r="C898" s="102" t="s">
        <v>1146</v>
      </c>
    </row>
    <row r="899" spans="1:3" ht="15">
      <c r="A899" s="90" t="s">
        <v>341</v>
      </c>
      <c r="B899" s="89" t="s">
        <v>712</v>
      </c>
      <c r="C899" s="102" t="s">
        <v>1146</v>
      </c>
    </row>
    <row r="900" spans="1:3" ht="15">
      <c r="A900" s="90" t="s">
        <v>341</v>
      </c>
      <c r="B900" s="89" t="s">
        <v>2967</v>
      </c>
      <c r="C900" s="102" t="s">
        <v>1146</v>
      </c>
    </row>
    <row r="901" spans="1:3" ht="15">
      <c r="A901" s="90" t="s">
        <v>341</v>
      </c>
      <c r="B901" s="89" t="s">
        <v>3503</v>
      </c>
      <c r="C901" s="102" t="s">
        <v>1146</v>
      </c>
    </row>
    <row r="902" spans="1:3" ht="15">
      <c r="A902" s="90" t="s">
        <v>341</v>
      </c>
      <c r="B902" s="89" t="s">
        <v>3504</v>
      </c>
      <c r="C902" s="102" t="s">
        <v>1146</v>
      </c>
    </row>
    <row r="903" spans="1:3" ht="15">
      <c r="A903" s="90" t="s">
        <v>341</v>
      </c>
      <c r="B903" s="89" t="s">
        <v>2968</v>
      </c>
      <c r="C903" s="102" t="s">
        <v>1146</v>
      </c>
    </row>
    <row r="904" spans="1:3" ht="15">
      <c r="A904" s="90" t="s">
        <v>341</v>
      </c>
      <c r="B904" s="89" t="s">
        <v>3505</v>
      </c>
      <c r="C904" s="102" t="s">
        <v>1146</v>
      </c>
    </row>
    <row r="905" spans="1:3" ht="15">
      <c r="A905" s="90" t="s">
        <v>341</v>
      </c>
      <c r="B905" s="89" t="s">
        <v>3506</v>
      </c>
      <c r="C905" s="102" t="s">
        <v>1146</v>
      </c>
    </row>
    <row r="906" spans="1:3" ht="15">
      <c r="A906" s="90" t="s">
        <v>341</v>
      </c>
      <c r="B906" s="89" t="s">
        <v>3507</v>
      </c>
      <c r="C906" s="102" t="s">
        <v>1146</v>
      </c>
    </row>
    <row r="907" spans="1:3" ht="15">
      <c r="A907" s="90" t="s">
        <v>341</v>
      </c>
      <c r="B907" s="89" t="s">
        <v>3508</v>
      </c>
      <c r="C907" s="102" t="s">
        <v>1146</v>
      </c>
    </row>
    <row r="908" spans="1:3" ht="15">
      <c r="A908" s="90" t="s">
        <v>341</v>
      </c>
      <c r="B908" s="89" t="s">
        <v>3509</v>
      </c>
      <c r="C908" s="102" t="s">
        <v>1146</v>
      </c>
    </row>
    <row r="909" spans="1:3" ht="15">
      <c r="A909" s="90" t="s">
        <v>341</v>
      </c>
      <c r="B909" s="89" t="s">
        <v>3510</v>
      </c>
      <c r="C909" s="102" t="s">
        <v>1146</v>
      </c>
    </row>
    <row r="910" spans="1:3" ht="15">
      <c r="A910" s="90" t="s">
        <v>341</v>
      </c>
      <c r="B910" s="89">
        <v>3</v>
      </c>
      <c r="C910" s="102" t="s">
        <v>1146</v>
      </c>
    </row>
    <row r="911" spans="1:3" ht="15">
      <c r="A911" s="90" t="s">
        <v>341</v>
      </c>
      <c r="B911" s="89" t="s">
        <v>3511</v>
      </c>
      <c r="C911" s="102" t="s">
        <v>1146</v>
      </c>
    </row>
    <row r="912" spans="1:3" ht="15">
      <c r="A912" s="90" t="s">
        <v>341</v>
      </c>
      <c r="B912" s="89" t="s">
        <v>493</v>
      </c>
      <c r="C912" s="102" t="s">
        <v>1147</v>
      </c>
    </row>
    <row r="913" spans="1:3" ht="15">
      <c r="A913" s="90" t="s">
        <v>341</v>
      </c>
      <c r="B913" s="89" t="s">
        <v>3512</v>
      </c>
      <c r="C913" s="102" t="s">
        <v>1147</v>
      </c>
    </row>
    <row r="914" spans="1:3" ht="15">
      <c r="A914" s="90" t="s">
        <v>341</v>
      </c>
      <c r="B914" s="89" t="s">
        <v>491</v>
      </c>
      <c r="C914" s="102" t="s">
        <v>1147</v>
      </c>
    </row>
    <row r="915" spans="1:3" ht="15">
      <c r="A915" s="90" t="s">
        <v>341</v>
      </c>
      <c r="B915" s="89" t="s">
        <v>3513</v>
      </c>
      <c r="C915" s="102" t="s">
        <v>1147</v>
      </c>
    </row>
    <row r="916" spans="1:3" ht="15">
      <c r="A916" s="90" t="s">
        <v>341</v>
      </c>
      <c r="B916" s="89" t="s">
        <v>712</v>
      </c>
      <c r="C916" s="102" t="s">
        <v>1147</v>
      </c>
    </row>
    <row r="917" spans="1:3" ht="15">
      <c r="A917" s="90" t="s">
        <v>341</v>
      </c>
      <c r="B917" s="89" t="s">
        <v>3155</v>
      </c>
      <c r="C917" s="102" t="s">
        <v>1147</v>
      </c>
    </row>
    <row r="918" spans="1:3" ht="15">
      <c r="A918" s="90" t="s">
        <v>341</v>
      </c>
      <c r="B918" s="89" t="s">
        <v>3309</v>
      </c>
      <c r="C918" s="102" t="s">
        <v>1147</v>
      </c>
    </row>
    <row r="919" spans="1:3" ht="15">
      <c r="A919" s="90" t="s">
        <v>341</v>
      </c>
      <c r="B919" s="89" t="s">
        <v>3514</v>
      </c>
      <c r="C919" s="102" t="s">
        <v>1147</v>
      </c>
    </row>
    <row r="920" spans="1:3" ht="15">
      <c r="A920" s="90" t="s">
        <v>341</v>
      </c>
      <c r="B920" s="89" t="s">
        <v>2968</v>
      </c>
      <c r="C920" s="102" t="s">
        <v>1147</v>
      </c>
    </row>
    <row r="921" spans="1:3" ht="15">
      <c r="A921" s="90" t="s">
        <v>341</v>
      </c>
      <c r="B921" s="89" t="s">
        <v>3515</v>
      </c>
      <c r="C921" s="102" t="s">
        <v>1147</v>
      </c>
    </row>
    <row r="922" spans="1:3" ht="15">
      <c r="A922" s="90" t="s">
        <v>341</v>
      </c>
      <c r="B922" s="89" t="s">
        <v>3516</v>
      </c>
      <c r="C922" s="102" t="s">
        <v>1147</v>
      </c>
    </row>
    <row r="923" spans="1:3" ht="15">
      <c r="A923" s="90" t="s">
        <v>341</v>
      </c>
      <c r="B923" s="89" t="s">
        <v>2842</v>
      </c>
      <c r="C923" s="102" t="s">
        <v>1147</v>
      </c>
    </row>
    <row r="924" spans="1:3" ht="15">
      <c r="A924" s="90" t="s">
        <v>341</v>
      </c>
      <c r="B924" s="89" t="s">
        <v>3141</v>
      </c>
      <c r="C924" s="102" t="s">
        <v>1147</v>
      </c>
    </row>
    <row r="925" spans="1:3" ht="15">
      <c r="A925" s="90" t="s">
        <v>341</v>
      </c>
      <c r="B925" s="89" t="s">
        <v>3517</v>
      </c>
      <c r="C925" s="102" t="s">
        <v>1147</v>
      </c>
    </row>
    <row r="926" spans="1:3" ht="15">
      <c r="A926" s="90" t="s">
        <v>341</v>
      </c>
      <c r="B926" s="89" t="s">
        <v>3518</v>
      </c>
      <c r="C926" s="102" t="s">
        <v>1147</v>
      </c>
    </row>
    <row r="927" spans="1:3" ht="15">
      <c r="A927" s="90" t="s">
        <v>341</v>
      </c>
      <c r="B927" s="89" t="s">
        <v>3519</v>
      </c>
      <c r="C927" s="102" t="s">
        <v>1147</v>
      </c>
    </row>
    <row r="928" spans="1:3" ht="15">
      <c r="A928" s="90" t="s">
        <v>341</v>
      </c>
      <c r="B928" s="89" t="s">
        <v>3153</v>
      </c>
      <c r="C928" s="102" t="s">
        <v>1147</v>
      </c>
    </row>
    <row r="929" spans="1:3" ht="15">
      <c r="A929" s="90" t="s">
        <v>341</v>
      </c>
      <c r="B929" s="89" t="s">
        <v>3520</v>
      </c>
      <c r="C929" s="102" t="s">
        <v>1147</v>
      </c>
    </row>
    <row r="930" spans="1:3" ht="15">
      <c r="A930" s="90" t="s">
        <v>341</v>
      </c>
      <c r="B930" s="89" t="s">
        <v>3334</v>
      </c>
      <c r="C930" s="102" t="s">
        <v>1147</v>
      </c>
    </row>
    <row r="931" spans="1:3" ht="15">
      <c r="A931" s="90" t="s">
        <v>341</v>
      </c>
      <c r="B931" s="89" t="s">
        <v>2843</v>
      </c>
      <c r="C931" s="102" t="s">
        <v>1147</v>
      </c>
    </row>
    <row r="932" spans="1:3" ht="15">
      <c r="A932" s="90" t="s">
        <v>341</v>
      </c>
      <c r="B932" s="89" t="s">
        <v>3304</v>
      </c>
      <c r="C932" s="102" t="s">
        <v>1147</v>
      </c>
    </row>
    <row r="933" spans="1:3" ht="15">
      <c r="A933" s="90" t="s">
        <v>341</v>
      </c>
      <c r="B933" s="89" t="s">
        <v>2969</v>
      </c>
      <c r="C933" s="102" t="s">
        <v>1147</v>
      </c>
    </row>
    <row r="934" spans="1:3" ht="15">
      <c r="A934" s="90" t="s">
        <v>341</v>
      </c>
      <c r="B934" s="89" t="s">
        <v>3302</v>
      </c>
      <c r="C934" s="102" t="s">
        <v>1147</v>
      </c>
    </row>
    <row r="935" spans="1:3" ht="15">
      <c r="A935" s="90" t="s">
        <v>341</v>
      </c>
      <c r="B935" s="89" t="s">
        <v>3192</v>
      </c>
      <c r="C935" s="102" t="s">
        <v>1147</v>
      </c>
    </row>
    <row r="936" spans="1:3" ht="15">
      <c r="A936" s="90" t="s">
        <v>341</v>
      </c>
      <c r="B936" s="89" t="s">
        <v>3180</v>
      </c>
      <c r="C936" s="102" t="s">
        <v>1147</v>
      </c>
    </row>
    <row r="937" spans="1:3" ht="15">
      <c r="A937" s="90" t="s">
        <v>341</v>
      </c>
      <c r="B937" s="89" t="s">
        <v>2970</v>
      </c>
      <c r="C937" s="102" t="s">
        <v>1147</v>
      </c>
    </row>
    <row r="938" spans="1:3" ht="15">
      <c r="A938" s="90" t="s">
        <v>341</v>
      </c>
      <c r="B938" s="89" t="s">
        <v>3137</v>
      </c>
      <c r="C938" s="102" t="s">
        <v>1147</v>
      </c>
    </row>
    <row r="939" spans="1:3" ht="15">
      <c r="A939" s="90" t="s">
        <v>341</v>
      </c>
      <c r="B939" s="89" t="s">
        <v>3521</v>
      </c>
      <c r="C939" s="102" t="s">
        <v>1147</v>
      </c>
    </row>
    <row r="940" spans="1:3" ht="15">
      <c r="A940" s="90" t="s">
        <v>341</v>
      </c>
      <c r="B940" s="89" t="s">
        <v>2959</v>
      </c>
      <c r="C940" s="102" t="s">
        <v>1147</v>
      </c>
    </row>
    <row r="941" spans="1:3" ht="15">
      <c r="A941" s="90" t="s">
        <v>341</v>
      </c>
      <c r="B941" s="89" t="s">
        <v>3522</v>
      </c>
      <c r="C941" s="102" t="s">
        <v>1147</v>
      </c>
    </row>
    <row r="942" spans="1:3" ht="15">
      <c r="A942" s="90" t="s">
        <v>341</v>
      </c>
      <c r="B942" s="89" t="s">
        <v>3523</v>
      </c>
      <c r="C942" s="102" t="s">
        <v>1147</v>
      </c>
    </row>
    <row r="943" spans="1:3" ht="15">
      <c r="A943" s="90" t="s">
        <v>341</v>
      </c>
      <c r="B943" s="89" t="s">
        <v>3524</v>
      </c>
      <c r="C943" s="102" t="s">
        <v>1147</v>
      </c>
    </row>
    <row r="944" spans="1:3" ht="15">
      <c r="A944" s="90" t="s">
        <v>341</v>
      </c>
      <c r="B944" s="89" t="s">
        <v>489</v>
      </c>
      <c r="C944" s="102" t="s">
        <v>1145</v>
      </c>
    </row>
    <row r="945" spans="1:3" ht="15">
      <c r="A945" s="90" t="s">
        <v>341</v>
      </c>
      <c r="B945" s="89" t="s">
        <v>3525</v>
      </c>
      <c r="C945" s="102" t="s">
        <v>1145</v>
      </c>
    </row>
    <row r="946" spans="1:3" ht="15">
      <c r="A946" s="90" t="s">
        <v>341</v>
      </c>
      <c r="B946" s="89" t="s">
        <v>3367</v>
      </c>
      <c r="C946" s="102" t="s">
        <v>1145</v>
      </c>
    </row>
    <row r="947" spans="1:3" ht="15">
      <c r="A947" s="90" t="s">
        <v>341</v>
      </c>
      <c r="B947" s="89" t="s">
        <v>3526</v>
      </c>
      <c r="C947" s="102" t="s">
        <v>1145</v>
      </c>
    </row>
    <row r="948" spans="1:3" ht="15">
      <c r="A948" s="90" t="s">
        <v>341</v>
      </c>
      <c r="B948" s="89" t="s">
        <v>3527</v>
      </c>
      <c r="C948" s="102" t="s">
        <v>1145</v>
      </c>
    </row>
    <row r="949" spans="1:3" ht="15">
      <c r="A949" s="90" t="s">
        <v>341</v>
      </c>
      <c r="B949" s="89" t="s">
        <v>3528</v>
      </c>
      <c r="C949" s="102" t="s">
        <v>1145</v>
      </c>
    </row>
    <row r="950" spans="1:3" ht="15">
      <c r="A950" s="90" t="s">
        <v>341</v>
      </c>
      <c r="B950" s="89" t="s">
        <v>3141</v>
      </c>
      <c r="C950" s="102" t="s">
        <v>1145</v>
      </c>
    </row>
    <row r="951" spans="1:3" ht="15">
      <c r="A951" s="90" t="s">
        <v>341</v>
      </c>
      <c r="B951" s="89" t="s">
        <v>3529</v>
      </c>
      <c r="C951" s="102" t="s">
        <v>1145</v>
      </c>
    </row>
    <row r="952" spans="1:3" ht="15">
      <c r="A952" s="90" t="s">
        <v>341</v>
      </c>
      <c r="B952" s="89" t="s">
        <v>3169</v>
      </c>
      <c r="C952" s="102" t="s">
        <v>1145</v>
      </c>
    </row>
    <row r="953" spans="1:3" ht="15">
      <c r="A953" s="90" t="s">
        <v>341</v>
      </c>
      <c r="B953" s="89" t="s">
        <v>3530</v>
      </c>
      <c r="C953" s="102" t="s">
        <v>1145</v>
      </c>
    </row>
    <row r="954" spans="1:3" ht="15">
      <c r="A954" s="90" t="s">
        <v>341</v>
      </c>
      <c r="B954" s="89" t="s">
        <v>3475</v>
      </c>
      <c r="C954" s="102" t="s">
        <v>1145</v>
      </c>
    </row>
    <row r="955" spans="1:3" ht="15">
      <c r="A955" s="90" t="s">
        <v>341</v>
      </c>
      <c r="B955" s="89" t="s">
        <v>3531</v>
      </c>
      <c r="C955" s="102" t="s">
        <v>1145</v>
      </c>
    </row>
    <row r="956" spans="1:3" ht="15">
      <c r="A956" s="90" t="s">
        <v>341</v>
      </c>
      <c r="B956" s="89" t="s">
        <v>3170</v>
      </c>
      <c r="C956" s="102" t="s">
        <v>1145</v>
      </c>
    </row>
    <row r="957" spans="1:3" ht="15">
      <c r="A957" s="90" t="s">
        <v>341</v>
      </c>
      <c r="B957" s="89" t="s">
        <v>3532</v>
      </c>
      <c r="C957" s="102" t="s">
        <v>1145</v>
      </c>
    </row>
    <row r="958" spans="1:3" ht="15">
      <c r="A958" s="90" t="s">
        <v>341</v>
      </c>
      <c r="B958" s="89" t="s">
        <v>3533</v>
      </c>
      <c r="C958" s="102" t="s">
        <v>1145</v>
      </c>
    </row>
    <row r="959" spans="1:3" ht="15">
      <c r="A959" s="90" t="s">
        <v>341</v>
      </c>
      <c r="B959" s="89" t="s">
        <v>3309</v>
      </c>
      <c r="C959" s="102" t="s">
        <v>1145</v>
      </c>
    </row>
    <row r="960" spans="1:3" ht="15">
      <c r="A960" s="90" t="s">
        <v>341</v>
      </c>
      <c r="B960" s="89" t="s">
        <v>2845</v>
      </c>
      <c r="C960" s="102" t="s">
        <v>1145</v>
      </c>
    </row>
    <row r="961" spans="1:3" ht="15">
      <c r="A961" s="90" t="s">
        <v>341</v>
      </c>
      <c r="B961" s="89" t="s">
        <v>3308</v>
      </c>
      <c r="C961" s="102" t="s">
        <v>1145</v>
      </c>
    </row>
    <row r="962" spans="1:3" ht="15">
      <c r="A962" s="90" t="s">
        <v>341</v>
      </c>
      <c r="B962" s="89" t="s">
        <v>3534</v>
      </c>
      <c r="C962" s="102" t="s">
        <v>1145</v>
      </c>
    </row>
    <row r="963" spans="1:3" ht="15">
      <c r="A963" s="90" t="s">
        <v>341</v>
      </c>
      <c r="B963" s="89" t="s">
        <v>3535</v>
      </c>
      <c r="C963" s="102" t="s">
        <v>1145</v>
      </c>
    </row>
    <row r="964" spans="1:3" ht="15">
      <c r="A964" s="90" t="s">
        <v>341</v>
      </c>
      <c r="B964" s="89" t="s">
        <v>3536</v>
      </c>
      <c r="C964" s="102" t="s">
        <v>1145</v>
      </c>
    </row>
    <row r="965" spans="1:3" ht="15">
      <c r="A965" s="90" t="s">
        <v>341</v>
      </c>
      <c r="B965" s="89" t="s">
        <v>712</v>
      </c>
      <c r="C965" s="102" t="s">
        <v>1145</v>
      </c>
    </row>
    <row r="966" spans="1:3" ht="15">
      <c r="A966" s="90" t="s">
        <v>341</v>
      </c>
      <c r="B966" s="89" t="s">
        <v>3537</v>
      </c>
      <c r="C966" s="102" t="s">
        <v>1145</v>
      </c>
    </row>
    <row r="967" spans="1:3" ht="15">
      <c r="A967" s="90" t="s">
        <v>341</v>
      </c>
      <c r="B967" s="89" t="s">
        <v>3538</v>
      </c>
      <c r="C967" s="102" t="s">
        <v>1145</v>
      </c>
    </row>
    <row r="968" spans="1:3" ht="15">
      <c r="A968" s="90" t="s">
        <v>341</v>
      </c>
      <c r="B968" s="89" t="s">
        <v>3539</v>
      </c>
      <c r="C968" s="102" t="s">
        <v>1145</v>
      </c>
    </row>
    <row r="969" spans="1:3" ht="15">
      <c r="A969" s="90" t="s">
        <v>341</v>
      </c>
      <c r="B969" s="89" t="s">
        <v>3540</v>
      </c>
      <c r="C969" s="102" t="s">
        <v>1145</v>
      </c>
    </row>
    <row r="970" spans="1:3" ht="15">
      <c r="A970" s="90" t="s">
        <v>341</v>
      </c>
      <c r="B970" s="89" t="s">
        <v>2846</v>
      </c>
      <c r="C970" s="102" t="s">
        <v>1145</v>
      </c>
    </row>
    <row r="971" spans="1:3" ht="15">
      <c r="A971" s="90" t="s">
        <v>341</v>
      </c>
      <c r="B971" s="89" t="s">
        <v>3541</v>
      </c>
      <c r="C971" s="102" t="s">
        <v>1145</v>
      </c>
    </row>
    <row r="972" spans="1:3" ht="15">
      <c r="A972" s="90" t="s">
        <v>341</v>
      </c>
      <c r="B972" s="89" t="s">
        <v>717</v>
      </c>
      <c r="C972" s="102" t="s">
        <v>1145</v>
      </c>
    </row>
    <row r="973" spans="1:3" ht="15">
      <c r="A973" s="90" t="s">
        <v>341</v>
      </c>
      <c r="B973" s="89" t="s">
        <v>488</v>
      </c>
      <c r="C973" s="102" t="s">
        <v>1143</v>
      </c>
    </row>
    <row r="974" spans="1:3" ht="15">
      <c r="A974" s="90" t="s">
        <v>341</v>
      </c>
      <c r="B974" s="89" t="s">
        <v>3367</v>
      </c>
      <c r="C974" s="102" t="s">
        <v>1143</v>
      </c>
    </row>
    <row r="975" spans="1:3" ht="15">
      <c r="A975" s="90" t="s">
        <v>341</v>
      </c>
      <c r="B975" s="89" t="s">
        <v>3542</v>
      </c>
      <c r="C975" s="102" t="s">
        <v>1143</v>
      </c>
    </row>
    <row r="976" spans="1:3" ht="15">
      <c r="A976" s="90" t="s">
        <v>341</v>
      </c>
      <c r="B976" s="89" t="s">
        <v>2847</v>
      </c>
      <c r="C976" s="102" t="s">
        <v>1143</v>
      </c>
    </row>
    <row r="977" spans="1:3" ht="15">
      <c r="A977" s="90" t="s">
        <v>341</v>
      </c>
      <c r="B977" s="89" t="s">
        <v>3475</v>
      </c>
      <c r="C977" s="102" t="s">
        <v>1143</v>
      </c>
    </row>
    <row r="978" spans="1:3" ht="15">
      <c r="A978" s="90" t="s">
        <v>341</v>
      </c>
      <c r="B978" s="89" t="s">
        <v>712</v>
      </c>
      <c r="C978" s="102" t="s">
        <v>1143</v>
      </c>
    </row>
    <row r="979" spans="1:3" ht="15">
      <c r="A979" s="90" t="s">
        <v>341</v>
      </c>
      <c r="B979" s="89" t="s">
        <v>3543</v>
      </c>
      <c r="C979" s="102" t="s">
        <v>1143</v>
      </c>
    </row>
    <row r="980" spans="1:3" ht="15">
      <c r="A980" s="90" t="s">
        <v>341</v>
      </c>
      <c r="B980" s="89" t="s">
        <v>3137</v>
      </c>
      <c r="C980" s="102" t="s">
        <v>1143</v>
      </c>
    </row>
    <row r="981" spans="1:3" ht="15">
      <c r="A981" s="90" t="s">
        <v>341</v>
      </c>
      <c r="B981" s="89" t="s">
        <v>3544</v>
      </c>
      <c r="C981" s="102" t="s">
        <v>1143</v>
      </c>
    </row>
    <row r="982" spans="1:3" ht="15">
      <c r="A982" s="90" t="s">
        <v>341</v>
      </c>
      <c r="B982" s="89" t="s">
        <v>3545</v>
      </c>
      <c r="C982" s="102" t="s">
        <v>1143</v>
      </c>
    </row>
    <row r="983" spans="1:3" ht="15">
      <c r="A983" s="90" t="s">
        <v>341</v>
      </c>
      <c r="B983" s="89" t="s">
        <v>3546</v>
      </c>
      <c r="C983" s="102" t="s">
        <v>1143</v>
      </c>
    </row>
    <row r="984" spans="1:3" ht="15">
      <c r="A984" s="90" t="s">
        <v>341</v>
      </c>
      <c r="B984" s="89" t="s">
        <v>3547</v>
      </c>
      <c r="C984" s="102" t="s">
        <v>1143</v>
      </c>
    </row>
    <row r="985" spans="1:3" ht="15">
      <c r="A985" s="90" t="s">
        <v>341</v>
      </c>
      <c r="B985" s="89" t="s">
        <v>3548</v>
      </c>
      <c r="C985" s="102" t="s">
        <v>1143</v>
      </c>
    </row>
    <row r="986" spans="1:3" ht="15">
      <c r="A986" s="90" t="s">
        <v>341</v>
      </c>
      <c r="B986" s="89" t="s">
        <v>3549</v>
      </c>
      <c r="C986" s="102" t="s">
        <v>1143</v>
      </c>
    </row>
    <row r="987" spans="1:3" ht="15">
      <c r="A987" s="90" t="s">
        <v>341</v>
      </c>
      <c r="B987" s="89" t="s">
        <v>3155</v>
      </c>
      <c r="C987" s="102" t="s">
        <v>1143</v>
      </c>
    </row>
    <row r="988" spans="1:3" ht="15">
      <c r="A988" s="90" t="s">
        <v>341</v>
      </c>
      <c r="B988" s="89" t="s">
        <v>3550</v>
      </c>
      <c r="C988" s="102" t="s">
        <v>1143</v>
      </c>
    </row>
    <row r="989" spans="1:3" ht="15">
      <c r="A989" s="90" t="s">
        <v>341</v>
      </c>
      <c r="B989" s="89" t="s">
        <v>3551</v>
      </c>
      <c r="C989" s="102" t="s">
        <v>1143</v>
      </c>
    </row>
    <row r="990" spans="1:3" ht="15">
      <c r="A990" s="90" t="s">
        <v>341</v>
      </c>
      <c r="B990" s="89" t="s">
        <v>3201</v>
      </c>
      <c r="C990" s="102" t="s">
        <v>1143</v>
      </c>
    </row>
    <row r="991" spans="1:3" ht="15">
      <c r="A991" s="90" t="s">
        <v>341</v>
      </c>
      <c r="B991" s="89" t="s">
        <v>3552</v>
      </c>
      <c r="C991" s="102" t="s">
        <v>1143</v>
      </c>
    </row>
    <row r="992" spans="1:3" ht="15">
      <c r="A992" s="90" t="s">
        <v>341</v>
      </c>
      <c r="B992" s="89" t="s">
        <v>3553</v>
      </c>
      <c r="C992" s="102" t="s">
        <v>1143</v>
      </c>
    </row>
    <row r="993" spans="1:3" ht="15">
      <c r="A993" s="90" t="s">
        <v>341</v>
      </c>
      <c r="B993" s="89" t="s">
        <v>3554</v>
      </c>
      <c r="C993" s="102" t="s">
        <v>1143</v>
      </c>
    </row>
    <row r="994" spans="1:3" ht="15">
      <c r="A994" s="90" t="s">
        <v>341</v>
      </c>
      <c r="B994" s="89" t="s">
        <v>2971</v>
      </c>
      <c r="C994" s="102" t="s">
        <v>1143</v>
      </c>
    </row>
    <row r="995" spans="1:3" ht="15">
      <c r="A995" s="90" t="s">
        <v>341</v>
      </c>
      <c r="B995" s="89" t="s">
        <v>3404</v>
      </c>
      <c r="C995" s="102" t="s">
        <v>1143</v>
      </c>
    </row>
    <row r="996" spans="1:3" ht="15">
      <c r="A996" s="90" t="s">
        <v>341</v>
      </c>
      <c r="B996" s="89" t="s">
        <v>3309</v>
      </c>
      <c r="C996" s="102" t="s">
        <v>1143</v>
      </c>
    </row>
    <row r="997" spans="1:3" ht="15">
      <c r="A997" s="90" t="s">
        <v>341</v>
      </c>
      <c r="B997" s="89" t="s">
        <v>3555</v>
      </c>
      <c r="C997" s="102" t="s">
        <v>1143</v>
      </c>
    </row>
    <row r="998" spans="1:3" ht="15">
      <c r="A998" s="90" t="s">
        <v>341</v>
      </c>
      <c r="B998" s="89" t="s">
        <v>2737</v>
      </c>
      <c r="C998" s="102" t="s">
        <v>1143</v>
      </c>
    </row>
    <row r="999" spans="1:3" ht="15">
      <c r="A999" s="90" t="s">
        <v>341</v>
      </c>
      <c r="B999" s="89" t="s">
        <v>3556</v>
      </c>
      <c r="C999" s="102" t="s">
        <v>1143</v>
      </c>
    </row>
    <row r="1000" spans="1:3" ht="15">
      <c r="A1000" s="90" t="s">
        <v>340</v>
      </c>
      <c r="B1000" s="89" t="s">
        <v>3557</v>
      </c>
      <c r="C1000" s="102" t="s">
        <v>1142</v>
      </c>
    </row>
    <row r="1001" spans="1:3" ht="15">
      <c r="A1001" s="90" t="s">
        <v>340</v>
      </c>
      <c r="B1001" s="89" t="s">
        <v>486</v>
      </c>
      <c r="C1001" s="102" t="s">
        <v>1142</v>
      </c>
    </row>
    <row r="1002" spans="1:3" ht="15">
      <c r="A1002" s="90" t="s">
        <v>340</v>
      </c>
      <c r="B1002" s="89" t="s">
        <v>3558</v>
      </c>
      <c r="C1002" s="102" t="s">
        <v>1142</v>
      </c>
    </row>
    <row r="1003" spans="1:3" ht="15">
      <c r="A1003" s="90" t="s">
        <v>340</v>
      </c>
      <c r="B1003" s="89" t="s">
        <v>3559</v>
      </c>
      <c r="C1003" s="102" t="s">
        <v>1142</v>
      </c>
    </row>
    <row r="1004" spans="1:3" ht="15">
      <c r="A1004" s="90" t="s">
        <v>340</v>
      </c>
      <c r="B1004" s="89" t="s">
        <v>3560</v>
      </c>
      <c r="C1004" s="102" t="s">
        <v>1142</v>
      </c>
    </row>
    <row r="1005" spans="1:3" ht="15">
      <c r="A1005" s="90" t="s">
        <v>340</v>
      </c>
      <c r="B1005" s="89" t="s">
        <v>3561</v>
      </c>
      <c r="C1005" s="102" t="s">
        <v>1142</v>
      </c>
    </row>
    <row r="1006" spans="1:3" ht="15">
      <c r="A1006" s="90" t="s">
        <v>340</v>
      </c>
      <c r="B1006" s="89" t="s">
        <v>3562</v>
      </c>
      <c r="C1006" s="102" t="s">
        <v>1142</v>
      </c>
    </row>
    <row r="1007" spans="1:3" ht="15">
      <c r="A1007" s="90" t="s">
        <v>340</v>
      </c>
      <c r="B1007" s="89" t="s">
        <v>3563</v>
      </c>
      <c r="C1007" s="102" t="s">
        <v>1142</v>
      </c>
    </row>
    <row r="1008" spans="1:3" ht="15">
      <c r="A1008" s="90" t="s">
        <v>340</v>
      </c>
      <c r="B1008" s="89" t="s">
        <v>3564</v>
      </c>
      <c r="C1008" s="102" t="s">
        <v>1142</v>
      </c>
    </row>
    <row r="1009" spans="1:3" ht="15">
      <c r="A1009" s="90" t="s">
        <v>340</v>
      </c>
      <c r="B1009" s="89" t="s">
        <v>3565</v>
      </c>
      <c r="C1009" s="102" t="s">
        <v>1142</v>
      </c>
    </row>
    <row r="1010" spans="1:3" ht="15">
      <c r="A1010" s="90" t="s">
        <v>340</v>
      </c>
      <c r="B1010" s="89" t="s">
        <v>3566</v>
      </c>
      <c r="C1010" s="102" t="s">
        <v>1142</v>
      </c>
    </row>
    <row r="1011" spans="1:3" ht="15">
      <c r="A1011" s="90" t="s">
        <v>340</v>
      </c>
      <c r="B1011" s="89" t="s">
        <v>3567</v>
      </c>
      <c r="C1011" s="102" t="s">
        <v>1142</v>
      </c>
    </row>
    <row r="1012" spans="1:3" ht="15">
      <c r="A1012" s="90" t="s">
        <v>340</v>
      </c>
      <c r="B1012" s="89" t="s">
        <v>2972</v>
      </c>
      <c r="C1012" s="102" t="s">
        <v>1142</v>
      </c>
    </row>
    <row r="1013" spans="1:3" ht="15">
      <c r="A1013" s="90" t="s">
        <v>340</v>
      </c>
      <c r="B1013" s="89" t="s">
        <v>3568</v>
      </c>
      <c r="C1013" s="102" t="s">
        <v>1142</v>
      </c>
    </row>
    <row r="1014" spans="1:3" ht="15">
      <c r="A1014" s="90" t="s">
        <v>340</v>
      </c>
      <c r="B1014" s="89" t="s">
        <v>2740</v>
      </c>
      <c r="C1014" s="102" t="s">
        <v>1142</v>
      </c>
    </row>
    <row r="1015" spans="1:3" ht="15">
      <c r="A1015" s="90" t="s">
        <v>340</v>
      </c>
      <c r="B1015" s="89" t="s">
        <v>2938</v>
      </c>
      <c r="C1015" s="102" t="s">
        <v>1142</v>
      </c>
    </row>
    <row r="1016" spans="1:3" ht="15">
      <c r="A1016" s="90" t="s">
        <v>340</v>
      </c>
      <c r="B1016" s="89" t="s">
        <v>3569</v>
      </c>
      <c r="C1016" s="102" t="s">
        <v>1142</v>
      </c>
    </row>
    <row r="1017" spans="1:3" ht="15">
      <c r="A1017" s="90" t="s">
        <v>340</v>
      </c>
      <c r="B1017" s="89" t="s">
        <v>3570</v>
      </c>
      <c r="C1017" s="102" t="s">
        <v>1142</v>
      </c>
    </row>
    <row r="1018" spans="1:3" ht="15">
      <c r="A1018" s="90" t="s">
        <v>340</v>
      </c>
      <c r="B1018" s="89" t="s">
        <v>3571</v>
      </c>
      <c r="C1018" s="102" t="s">
        <v>1142</v>
      </c>
    </row>
    <row r="1019" spans="1:3" ht="15">
      <c r="A1019" s="90" t="s">
        <v>340</v>
      </c>
      <c r="B1019" s="89" t="s">
        <v>3572</v>
      </c>
      <c r="C1019" s="102" t="s">
        <v>1142</v>
      </c>
    </row>
    <row r="1020" spans="1:3" ht="15">
      <c r="A1020" s="90" t="s">
        <v>340</v>
      </c>
      <c r="B1020" s="89" t="s">
        <v>3155</v>
      </c>
      <c r="C1020" s="102" t="s">
        <v>1142</v>
      </c>
    </row>
    <row r="1021" spans="1:3" ht="15">
      <c r="A1021" s="90" t="s">
        <v>340</v>
      </c>
      <c r="B1021" s="89" t="s">
        <v>2848</v>
      </c>
      <c r="C1021" s="102" t="s">
        <v>1142</v>
      </c>
    </row>
    <row r="1022" spans="1:3" ht="15">
      <c r="A1022" s="90" t="s">
        <v>340</v>
      </c>
      <c r="B1022" s="89" t="s">
        <v>3573</v>
      </c>
      <c r="C1022" s="102" t="s">
        <v>1142</v>
      </c>
    </row>
    <row r="1023" spans="1:3" ht="15">
      <c r="A1023" s="90" t="s">
        <v>340</v>
      </c>
      <c r="B1023" s="89" t="s">
        <v>3574</v>
      </c>
      <c r="C1023" s="102" t="s">
        <v>1142</v>
      </c>
    </row>
    <row r="1024" spans="1:3" ht="15">
      <c r="A1024" s="90" t="s">
        <v>340</v>
      </c>
      <c r="B1024" s="89" t="s">
        <v>3575</v>
      </c>
      <c r="C1024" s="102" t="s">
        <v>1142</v>
      </c>
    </row>
    <row r="1025" spans="1:3" ht="15">
      <c r="A1025" s="90" t="s">
        <v>340</v>
      </c>
      <c r="B1025" s="89" t="s">
        <v>3576</v>
      </c>
      <c r="C1025" s="102" t="s">
        <v>1142</v>
      </c>
    </row>
    <row r="1026" spans="1:3" ht="15">
      <c r="A1026" s="90" t="s">
        <v>340</v>
      </c>
      <c r="B1026" s="89" t="s">
        <v>3204</v>
      </c>
      <c r="C1026" s="102" t="s">
        <v>1142</v>
      </c>
    </row>
    <row r="1027" spans="1:3" ht="15">
      <c r="A1027" s="90" t="s">
        <v>340</v>
      </c>
      <c r="B1027" s="89" t="s">
        <v>3137</v>
      </c>
      <c r="C1027" s="102" t="s">
        <v>1142</v>
      </c>
    </row>
    <row r="1028" spans="1:3" ht="15">
      <c r="A1028" s="90" t="s">
        <v>340</v>
      </c>
      <c r="B1028" s="89" t="s">
        <v>3256</v>
      </c>
      <c r="C1028" s="102" t="s">
        <v>1142</v>
      </c>
    </row>
    <row r="1029" spans="1:3" ht="15">
      <c r="A1029" s="90" t="s">
        <v>340</v>
      </c>
      <c r="B1029" s="89" t="s">
        <v>2664</v>
      </c>
      <c r="C1029" s="102" t="s">
        <v>1142</v>
      </c>
    </row>
    <row r="1030" spans="1:3" ht="15">
      <c r="A1030" s="90" t="s">
        <v>340</v>
      </c>
      <c r="B1030" s="89" t="s">
        <v>2849</v>
      </c>
      <c r="C1030" s="102" t="s">
        <v>1142</v>
      </c>
    </row>
    <row r="1031" spans="1:3" ht="15">
      <c r="A1031" s="90" t="s">
        <v>340</v>
      </c>
      <c r="B1031" s="89" t="s">
        <v>3577</v>
      </c>
      <c r="C1031" s="102" t="s">
        <v>1142</v>
      </c>
    </row>
    <row r="1032" spans="1:3" ht="15">
      <c r="A1032" s="90" t="s">
        <v>340</v>
      </c>
      <c r="B1032" s="89" t="s">
        <v>2850</v>
      </c>
      <c r="C1032" s="102" t="s">
        <v>1142</v>
      </c>
    </row>
    <row r="1033" spans="1:3" ht="15">
      <c r="A1033" s="90" t="s">
        <v>340</v>
      </c>
      <c r="B1033" s="89" t="s">
        <v>3578</v>
      </c>
      <c r="C1033" s="102" t="s">
        <v>1142</v>
      </c>
    </row>
    <row r="1034" spans="1:3" ht="15">
      <c r="A1034" s="90" t="s">
        <v>340</v>
      </c>
      <c r="B1034" s="89" t="s">
        <v>3579</v>
      </c>
      <c r="C1034" s="102" t="s">
        <v>1142</v>
      </c>
    </row>
    <row r="1035" spans="1:3" ht="15">
      <c r="A1035" s="90" t="s">
        <v>339</v>
      </c>
      <c r="B1035" s="89" t="s">
        <v>3580</v>
      </c>
      <c r="C1035" s="102" t="s">
        <v>1141</v>
      </c>
    </row>
    <row r="1036" spans="1:3" ht="15">
      <c r="A1036" s="90" t="s">
        <v>339</v>
      </c>
      <c r="B1036" s="89" t="s">
        <v>712</v>
      </c>
      <c r="C1036" s="102" t="s">
        <v>1141</v>
      </c>
    </row>
    <row r="1037" spans="1:3" ht="15">
      <c r="A1037" s="90" t="s">
        <v>339</v>
      </c>
      <c r="B1037" s="89" t="s">
        <v>3137</v>
      </c>
      <c r="C1037" s="102" t="s">
        <v>1141</v>
      </c>
    </row>
    <row r="1038" spans="1:3" ht="15">
      <c r="A1038" s="90" t="s">
        <v>339</v>
      </c>
      <c r="B1038" s="89" t="s">
        <v>3581</v>
      </c>
      <c r="C1038" s="102" t="s">
        <v>1141</v>
      </c>
    </row>
    <row r="1039" spans="1:3" ht="15">
      <c r="A1039" s="90" t="s">
        <v>339</v>
      </c>
      <c r="B1039" s="89" t="s">
        <v>3475</v>
      </c>
      <c r="C1039" s="102" t="s">
        <v>1141</v>
      </c>
    </row>
    <row r="1040" spans="1:3" ht="15">
      <c r="A1040" s="90" t="s">
        <v>339</v>
      </c>
      <c r="B1040" s="89" t="s">
        <v>3582</v>
      </c>
      <c r="C1040" s="102" t="s">
        <v>1141</v>
      </c>
    </row>
    <row r="1041" spans="1:3" ht="15">
      <c r="A1041" s="90" t="s">
        <v>339</v>
      </c>
      <c r="B1041" s="89" t="s">
        <v>3192</v>
      </c>
      <c r="C1041" s="102" t="s">
        <v>1141</v>
      </c>
    </row>
    <row r="1042" spans="1:3" ht="15">
      <c r="A1042" s="90" t="s">
        <v>339</v>
      </c>
      <c r="B1042" s="89" t="s">
        <v>3155</v>
      </c>
      <c r="C1042" s="102" t="s">
        <v>1141</v>
      </c>
    </row>
    <row r="1043" spans="1:3" ht="15">
      <c r="A1043" s="90" t="s">
        <v>339</v>
      </c>
      <c r="B1043" s="89" t="s">
        <v>3583</v>
      </c>
      <c r="C1043" s="102" t="s">
        <v>1141</v>
      </c>
    </row>
    <row r="1044" spans="1:3" ht="15">
      <c r="A1044" s="90" t="s">
        <v>339</v>
      </c>
      <c r="B1044" s="89" t="s">
        <v>3584</v>
      </c>
      <c r="C1044" s="102" t="s">
        <v>1141</v>
      </c>
    </row>
    <row r="1045" spans="1:3" ht="15">
      <c r="A1045" s="90" t="s">
        <v>339</v>
      </c>
      <c r="B1045" s="89" t="s">
        <v>3362</v>
      </c>
      <c r="C1045" s="102" t="s">
        <v>1141</v>
      </c>
    </row>
    <row r="1046" spans="1:3" ht="15">
      <c r="A1046" s="90" t="s">
        <v>339</v>
      </c>
      <c r="B1046" s="89" t="s">
        <v>3153</v>
      </c>
      <c r="C1046" s="102" t="s">
        <v>1141</v>
      </c>
    </row>
    <row r="1047" spans="1:3" ht="15">
      <c r="A1047" s="90" t="s">
        <v>339</v>
      </c>
      <c r="B1047" s="89" t="s">
        <v>2851</v>
      </c>
      <c r="C1047" s="102" t="s">
        <v>1141</v>
      </c>
    </row>
    <row r="1048" spans="1:3" ht="15">
      <c r="A1048" s="90" t="s">
        <v>339</v>
      </c>
      <c r="B1048" s="89" t="s">
        <v>3585</v>
      </c>
      <c r="C1048" s="102" t="s">
        <v>1141</v>
      </c>
    </row>
    <row r="1049" spans="1:3" ht="15">
      <c r="A1049" s="90" t="s">
        <v>339</v>
      </c>
      <c r="B1049" s="89" t="s">
        <v>2852</v>
      </c>
      <c r="C1049" s="102" t="s">
        <v>1141</v>
      </c>
    </row>
    <row r="1050" spans="1:3" ht="15">
      <c r="A1050" s="90" t="s">
        <v>339</v>
      </c>
      <c r="B1050" s="89" t="s">
        <v>3455</v>
      </c>
      <c r="C1050" s="102" t="s">
        <v>1141</v>
      </c>
    </row>
    <row r="1051" spans="1:3" ht="15">
      <c r="A1051" s="90" t="s">
        <v>337</v>
      </c>
      <c r="B1051" s="89" t="s">
        <v>3246</v>
      </c>
      <c r="C1051" s="102" t="s">
        <v>1130</v>
      </c>
    </row>
    <row r="1052" spans="1:3" ht="15">
      <c r="A1052" s="90" t="s">
        <v>337</v>
      </c>
      <c r="B1052" s="89" t="s">
        <v>3245</v>
      </c>
      <c r="C1052" s="102" t="s">
        <v>1130</v>
      </c>
    </row>
    <row r="1053" spans="1:3" ht="15">
      <c r="A1053" s="90" t="s">
        <v>337</v>
      </c>
      <c r="B1053" s="89" t="s">
        <v>3247</v>
      </c>
      <c r="C1053" s="102" t="s">
        <v>1130</v>
      </c>
    </row>
    <row r="1054" spans="1:3" ht="15">
      <c r="A1054" s="90" t="s">
        <v>337</v>
      </c>
      <c r="B1054" s="89" t="s">
        <v>3586</v>
      </c>
      <c r="C1054" s="102" t="s">
        <v>1130</v>
      </c>
    </row>
    <row r="1055" spans="1:3" ht="15">
      <c r="A1055" s="90" t="s">
        <v>337</v>
      </c>
      <c r="B1055" s="89" t="s">
        <v>712</v>
      </c>
      <c r="C1055" s="102" t="s">
        <v>1130</v>
      </c>
    </row>
    <row r="1056" spans="1:3" ht="15">
      <c r="A1056" s="90" t="s">
        <v>337</v>
      </c>
      <c r="B1056" s="89" t="s">
        <v>3141</v>
      </c>
      <c r="C1056" s="102" t="s">
        <v>1130</v>
      </c>
    </row>
    <row r="1057" spans="1:3" ht="15">
      <c r="A1057" s="90" t="s">
        <v>337</v>
      </c>
      <c r="B1057" s="89" t="s">
        <v>2781</v>
      </c>
      <c r="C1057" s="102" t="s">
        <v>1130</v>
      </c>
    </row>
    <row r="1058" spans="1:3" ht="15">
      <c r="A1058" s="90" t="s">
        <v>337</v>
      </c>
      <c r="B1058" s="89" t="s">
        <v>3170</v>
      </c>
      <c r="C1058" s="102" t="s">
        <v>1130</v>
      </c>
    </row>
    <row r="1059" spans="1:3" ht="15">
      <c r="A1059" s="90" t="s">
        <v>337</v>
      </c>
      <c r="B1059" s="89" t="s">
        <v>3587</v>
      </c>
      <c r="C1059" s="102" t="s">
        <v>1130</v>
      </c>
    </row>
    <row r="1060" spans="1:3" ht="15">
      <c r="A1060" s="90" t="s">
        <v>337</v>
      </c>
      <c r="B1060" s="89" t="s">
        <v>3588</v>
      </c>
      <c r="C1060" s="102" t="s">
        <v>1130</v>
      </c>
    </row>
    <row r="1061" spans="1:3" ht="15">
      <c r="A1061" s="90" t="s">
        <v>337</v>
      </c>
      <c r="B1061" s="89" t="s">
        <v>3589</v>
      </c>
      <c r="C1061" s="102" t="s">
        <v>1130</v>
      </c>
    </row>
    <row r="1062" spans="1:3" ht="15">
      <c r="A1062" s="90" t="s">
        <v>337</v>
      </c>
      <c r="B1062" s="89" t="s">
        <v>3590</v>
      </c>
      <c r="C1062" s="102" t="s">
        <v>1130</v>
      </c>
    </row>
    <row r="1063" spans="1:3" ht="15">
      <c r="A1063" s="90" t="s">
        <v>337</v>
      </c>
      <c r="B1063" s="89" t="s">
        <v>3591</v>
      </c>
      <c r="C1063" s="102" t="s">
        <v>1130</v>
      </c>
    </row>
    <row r="1064" spans="1:3" ht="15">
      <c r="A1064" s="90" t="s">
        <v>337</v>
      </c>
      <c r="B1064" s="89" t="s">
        <v>3201</v>
      </c>
      <c r="C1064" s="102" t="s">
        <v>1130</v>
      </c>
    </row>
    <row r="1065" spans="1:3" ht="15">
      <c r="A1065" s="90" t="s">
        <v>337</v>
      </c>
      <c r="B1065" s="89" t="s">
        <v>2973</v>
      </c>
      <c r="C1065" s="102" t="s">
        <v>1130</v>
      </c>
    </row>
    <row r="1066" spans="1:3" ht="15">
      <c r="A1066" s="90" t="s">
        <v>337</v>
      </c>
      <c r="B1066" s="89" t="s">
        <v>2782</v>
      </c>
      <c r="C1066" s="102" t="s">
        <v>1130</v>
      </c>
    </row>
    <row r="1067" spans="1:3" ht="15">
      <c r="A1067" s="90" t="s">
        <v>336</v>
      </c>
      <c r="B1067" s="89" t="s">
        <v>3245</v>
      </c>
      <c r="C1067" s="102" t="s">
        <v>1129</v>
      </c>
    </row>
    <row r="1068" spans="1:3" ht="15">
      <c r="A1068" s="90" t="s">
        <v>336</v>
      </c>
      <c r="B1068" s="89" t="s">
        <v>483</v>
      </c>
      <c r="C1068" s="102" t="s">
        <v>1129</v>
      </c>
    </row>
    <row r="1069" spans="1:3" ht="15">
      <c r="A1069" s="90" t="s">
        <v>336</v>
      </c>
      <c r="B1069" s="89" t="s">
        <v>3247</v>
      </c>
      <c r="C1069" s="102" t="s">
        <v>1129</v>
      </c>
    </row>
    <row r="1070" spans="1:3" ht="15">
      <c r="A1070" s="90" t="s">
        <v>336</v>
      </c>
      <c r="B1070" s="89" t="s">
        <v>3592</v>
      </c>
      <c r="C1070" s="102" t="s">
        <v>1129</v>
      </c>
    </row>
    <row r="1071" spans="1:3" ht="15">
      <c r="A1071" s="90" t="s">
        <v>336</v>
      </c>
      <c r="B1071" s="89" t="s">
        <v>3141</v>
      </c>
      <c r="C1071" s="102" t="s">
        <v>1129</v>
      </c>
    </row>
    <row r="1072" spans="1:3" ht="15">
      <c r="A1072" s="90" t="s">
        <v>336</v>
      </c>
      <c r="B1072" s="89" t="s">
        <v>3192</v>
      </c>
      <c r="C1072" s="102" t="s">
        <v>1129</v>
      </c>
    </row>
    <row r="1073" spans="1:3" ht="15">
      <c r="A1073" s="90" t="s">
        <v>336</v>
      </c>
      <c r="B1073" s="89" t="s">
        <v>2974</v>
      </c>
      <c r="C1073" s="102" t="s">
        <v>1129</v>
      </c>
    </row>
    <row r="1074" spans="1:3" ht="15">
      <c r="A1074" s="90" t="s">
        <v>336</v>
      </c>
      <c r="B1074" s="89" t="s">
        <v>3593</v>
      </c>
      <c r="C1074" s="102" t="s">
        <v>1129</v>
      </c>
    </row>
    <row r="1075" spans="1:3" ht="15">
      <c r="A1075" s="90" t="s">
        <v>336</v>
      </c>
      <c r="B1075" s="89" t="s">
        <v>3594</v>
      </c>
      <c r="C1075" s="102" t="s">
        <v>1129</v>
      </c>
    </row>
    <row r="1076" spans="1:3" ht="15">
      <c r="A1076" s="90" t="s">
        <v>336</v>
      </c>
      <c r="B1076" s="89" t="s">
        <v>3595</v>
      </c>
      <c r="C1076" s="102" t="s">
        <v>1129</v>
      </c>
    </row>
    <row r="1077" spans="1:3" ht="15">
      <c r="A1077" s="90" t="s">
        <v>336</v>
      </c>
      <c r="B1077" s="89" t="s">
        <v>3596</v>
      </c>
      <c r="C1077" s="102" t="s">
        <v>1129</v>
      </c>
    </row>
    <row r="1078" spans="1:3" ht="15">
      <c r="A1078" s="90" t="s">
        <v>336</v>
      </c>
      <c r="B1078" s="89" t="s">
        <v>712</v>
      </c>
      <c r="C1078" s="102" t="s">
        <v>1129</v>
      </c>
    </row>
    <row r="1079" spans="1:3" ht="15">
      <c r="A1079" s="90" t="s">
        <v>336</v>
      </c>
      <c r="B1079" s="89" t="s">
        <v>3255</v>
      </c>
      <c r="C1079" s="102" t="s">
        <v>1129</v>
      </c>
    </row>
    <row r="1080" spans="1:3" ht="15">
      <c r="A1080" s="90" t="s">
        <v>336</v>
      </c>
      <c r="B1080" s="89" t="s">
        <v>3155</v>
      </c>
      <c r="C1080" s="102" t="s">
        <v>1129</v>
      </c>
    </row>
    <row r="1081" spans="1:3" ht="15">
      <c r="A1081" s="90" t="s">
        <v>336</v>
      </c>
      <c r="B1081" s="89" t="s">
        <v>3597</v>
      </c>
      <c r="C1081" s="102" t="s">
        <v>1129</v>
      </c>
    </row>
    <row r="1082" spans="1:3" ht="15">
      <c r="A1082" s="90" t="s">
        <v>336</v>
      </c>
      <c r="B1082" s="89" t="s">
        <v>3598</v>
      </c>
      <c r="C1082" s="102" t="s">
        <v>1129</v>
      </c>
    </row>
    <row r="1083" spans="1:3" ht="15">
      <c r="A1083" s="90" t="s">
        <v>336</v>
      </c>
      <c r="B1083" s="89" t="s">
        <v>3309</v>
      </c>
      <c r="C1083" s="102" t="s">
        <v>1129</v>
      </c>
    </row>
    <row r="1084" spans="1:3" ht="15">
      <c r="A1084" s="90" t="s">
        <v>336</v>
      </c>
      <c r="B1084" s="89" t="s">
        <v>3599</v>
      </c>
      <c r="C1084" s="102" t="s">
        <v>1129</v>
      </c>
    </row>
    <row r="1085" spans="1:3" ht="15">
      <c r="A1085" s="90" t="s">
        <v>336</v>
      </c>
      <c r="B1085" s="89" t="s">
        <v>3600</v>
      </c>
      <c r="C1085" s="102" t="s">
        <v>1129</v>
      </c>
    </row>
    <row r="1086" spans="1:3" ht="15">
      <c r="A1086" s="90" t="s">
        <v>335</v>
      </c>
      <c r="B1086" s="89" t="s">
        <v>3601</v>
      </c>
      <c r="C1086" s="102" t="s">
        <v>1128</v>
      </c>
    </row>
    <row r="1087" spans="1:3" ht="15">
      <c r="A1087" s="90" t="s">
        <v>335</v>
      </c>
      <c r="B1087" s="89" t="s">
        <v>3602</v>
      </c>
      <c r="C1087" s="102" t="s">
        <v>1128</v>
      </c>
    </row>
    <row r="1088" spans="1:3" ht="15">
      <c r="A1088" s="90" t="s">
        <v>335</v>
      </c>
      <c r="B1088" s="89" t="s">
        <v>3603</v>
      </c>
      <c r="C1088" s="102" t="s">
        <v>1128</v>
      </c>
    </row>
    <row r="1089" spans="1:3" ht="15">
      <c r="A1089" s="90" t="s">
        <v>335</v>
      </c>
      <c r="B1089" s="89" t="s">
        <v>3604</v>
      </c>
      <c r="C1089" s="102" t="s">
        <v>1128</v>
      </c>
    </row>
    <row r="1090" spans="1:3" ht="15">
      <c r="A1090" s="90" t="s">
        <v>335</v>
      </c>
      <c r="B1090" s="89" t="s">
        <v>3605</v>
      </c>
      <c r="C1090" s="102" t="s">
        <v>1128</v>
      </c>
    </row>
    <row r="1091" spans="1:3" ht="15">
      <c r="A1091" s="90" t="s">
        <v>335</v>
      </c>
      <c r="B1091" s="89" t="s">
        <v>2975</v>
      </c>
      <c r="C1091" s="102" t="s">
        <v>1128</v>
      </c>
    </row>
    <row r="1092" spans="1:3" ht="15">
      <c r="A1092" s="90" t="s">
        <v>335</v>
      </c>
      <c r="B1092" s="89" t="s">
        <v>3258</v>
      </c>
      <c r="C1092" s="102" t="s">
        <v>1128</v>
      </c>
    </row>
    <row r="1093" spans="1:3" ht="15">
      <c r="A1093" s="90" t="s">
        <v>335</v>
      </c>
      <c r="B1093" s="89" t="s">
        <v>3606</v>
      </c>
      <c r="C1093" s="102" t="s">
        <v>1128</v>
      </c>
    </row>
    <row r="1094" spans="1:3" ht="15">
      <c r="A1094" s="90" t="s">
        <v>335</v>
      </c>
      <c r="B1094" s="89" t="s">
        <v>3607</v>
      </c>
      <c r="C1094" s="102" t="s">
        <v>1128</v>
      </c>
    </row>
    <row r="1095" spans="1:3" ht="15">
      <c r="A1095" s="90" t="s">
        <v>335</v>
      </c>
      <c r="B1095" s="89" t="s">
        <v>3608</v>
      </c>
      <c r="C1095" s="102" t="s">
        <v>1128</v>
      </c>
    </row>
    <row r="1096" spans="1:3" ht="15">
      <c r="A1096" s="90" t="s">
        <v>335</v>
      </c>
      <c r="B1096" s="89" t="s">
        <v>3180</v>
      </c>
      <c r="C1096" s="102" t="s">
        <v>1128</v>
      </c>
    </row>
    <row r="1097" spans="1:3" ht="15">
      <c r="A1097" s="90" t="s">
        <v>335</v>
      </c>
      <c r="B1097" s="89" t="s">
        <v>3609</v>
      </c>
      <c r="C1097" s="102" t="s">
        <v>1128</v>
      </c>
    </row>
    <row r="1098" spans="1:3" ht="15">
      <c r="A1098" s="90" t="s">
        <v>335</v>
      </c>
      <c r="B1098" s="89" t="s">
        <v>2749</v>
      </c>
      <c r="C1098" s="102" t="s">
        <v>1128</v>
      </c>
    </row>
    <row r="1099" spans="1:3" ht="15">
      <c r="A1099" s="90" t="s">
        <v>335</v>
      </c>
      <c r="B1099" s="89" t="s">
        <v>2661</v>
      </c>
      <c r="C1099" s="102" t="s">
        <v>1128</v>
      </c>
    </row>
    <row r="1100" spans="1:3" ht="15">
      <c r="A1100" s="90" t="s">
        <v>335</v>
      </c>
      <c r="B1100" s="89" t="s">
        <v>712</v>
      </c>
      <c r="C1100" s="102" t="s">
        <v>1128</v>
      </c>
    </row>
    <row r="1101" spans="1:3" ht="15">
      <c r="A1101" s="90" t="s">
        <v>335</v>
      </c>
      <c r="B1101" s="89" t="s">
        <v>3137</v>
      </c>
      <c r="C1101" s="102" t="s">
        <v>1128</v>
      </c>
    </row>
    <row r="1102" spans="1:3" ht="15">
      <c r="A1102" s="90" t="s">
        <v>335</v>
      </c>
      <c r="B1102" s="89" t="s">
        <v>3610</v>
      </c>
      <c r="C1102" s="102" t="s">
        <v>1128</v>
      </c>
    </row>
    <row r="1103" spans="1:3" ht="15">
      <c r="A1103" s="90" t="s">
        <v>335</v>
      </c>
      <c r="B1103" s="89" t="s">
        <v>2673</v>
      </c>
      <c r="C1103" s="102" t="s">
        <v>1128</v>
      </c>
    </row>
    <row r="1104" spans="1:3" ht="15">
      <c r="A1104" s="90" t="s">
        <v>335</v>
      </c>
      <c r="B1104" s="89" t="s">
        <v>3155</v>
      </c>
      <c r="C1104" s="102" t="s">
        <v>1128</v>
      </c>
    </row>
    <row r="1105" spans="1:3" ht="15">
      <c r="A1105" s="90" t="s">
        <v>335</v>
      </c>
      <c r="B1105" s="89" t="s">
        <v>3611</v>
      </c>
      <c r="C1105" s="102" t="s">
        <v>1128</v>
      </c>
    </row>
    <row r="1106" spans="1:3" ht="15">
      <c r="A1106" s="90" t="s">
        <v>335</v>
      </c>
      <c r="B1106" s="89" t="s">
        <v>3612</v>
      </c>
      <c r="C1106" s="102" t="s">
        <v>1128</v>
      </c>
    </row>
    <row r="1107" spans="1:3" ht="15">
      <c r="A1107" s="90" t="s">
        <v>335</v>
      </c>
      <c r="B1107" s="89" t="s">
        <v>3307</v>
      </c>
      <c r="C1107" s="102" t="s">
        <v>1153</v>
      </c>
    </row>
    <row r="1108" spans="1:3" ht="15">
      <c r="A1108" s="90" t="s">
        <v>335</v>
      </c>
      <c r="B1108" s="89" t="s">
        <v>3152</v>
      </c>
      <c r="C1108" s="102" t="s">
        <v>1153</v>
      </c>
    </row>
    <row r="1109" spans="1:3" ht="15">
      <c r="A1109" s="90" t="s">
        <v>335</v>
      </c>
      <c r="B1109" s="89" t="s">
        <v>3141</v>
      </c>
      <c r="C1109" s="102" t="s">
        <v>1153</v>
      </c>
    </row>
    <row r="1110" spans="1:3" ht="15">
      <c r="A1110" s="90" t="s">
        <v>335</v>
      </c>
      <c r="B1110" s="89" t="s">
        <v>2678</v>
      </c>
      <c r="C1110" s="102" t="s">
        <v>1153</v>
      </c>
    </row>
    <row r="1111" spans="1:3" ht="15">
      <c r="A1111" s="90" t="s">
        <v>335</v>
      </c>
      <c r="B1111" s="89" t="s">
        <v>2676</v>
      </c>
      <c r="C1111" s="102" t="s">
        <v>1153</v>
      </c>
    </row>
    <row r="1112" spans="1:3" ht="15">
      <c r="A1112" s="90" t="s">
        <v>335</v>
      </c>
      <c r="B1112" s="89" t="s">
        <v>3308</v>
      </c>
      <c r="C1112" s="102" t="s">
        <v>1153</v>
      </c>
    </row>
    <row r="1113" spans="1:3" ht="15">
      <c r="A1113" s="90" t="s">
        <v>335</v>
      </c>
      <c r="B1113" s="89" t="s">
        <v>3205</v>
      </c>
      <c r="C1113" s="102" t="s">
        <v>1153</v>
      </c>
    </row>
    <row r="1114" spans="1:3" ht="15">
      <c r="A1114" s="90" t="s">
        <v>335</v>
      </c>
      <c r="B1114" s="89" t="s">
        <v>3155</v>
      </c>
      <c r="C1114" s="102" t="s">
        <v>1153</v>
      </c>
    </row>
    <row r="1115" spans="1:3" ht="15">
      <c r="A1115" s="90" t="s">
        <v>335</v>
      </c>
      <c r="B1115" s="89" t="s">
        <v>3309</v>
      </c>
      <c r="C1115" s="102" t="s">
        <v>1153</v>
      </c>
    </row>
    <row r="1116" spans="1:3" ht="15">
      <c r="A1116" s="90" t="s">
        <v>335</v>
      </c>
      <c r="B1116" s="89" t="s">
        <v>2679</v>
      </c>
      <c r="C1116" s="102" t="s">
        <v>1153</v>
      </c>
    </row>
    <row r="1117" spans="1:3" ht="15">
      <c r="A1117" s="90" t="s">
        <v>335</v>
      </c>
      <c r="B1117" s="89" t="s">
        <v>712</v>
      </c>
      <c r="C1117" s="102" t="s">
        <v>1153</v>
      </c>
    </row>
    <row r="1118" spans="1:3" ht="15">
      <c r="A1118" s="90" t="s">
        <v>335</v>
      </c>
      <c r="B1118" s="89" t="s">
        <v>431</v>
      </c>
      <c r="C1118" s="102" t="s">
        <v>1153</v>
      </c>
    </row>
    <row r="1119" spans="1:3" ht="15">
      <c r="A1119" s="90" t="s">
        <v>335</v>
      </c>
      <c r="B1119" s="89" t="s">
        <v>3310</v>
      </c>
      <c r="C1119" s="102" t="s">
        <v>1153</v>
      </c>
    </row>
    <row r="1120" spans="1:3" ht="15">
      <c r="A1120" s="90" t="s">
        <v>334</v>
      </c>
      <c r="B1120" s="89" t="s">
        <v>3245</v>
      </c>
      <c r="C1120" s="102" t="s">
        <v>1127</v>
      </c>
    </row>
    <row r="1121" spans="1:3" ht="15">
      <c r="A1121" s="90" t="s">
        <v>334</v>
      </c>
      <c r="B1121" s="89" t="s">
        <v>3247</v>
      </c>
      <c r="C1121" s="102" t="s">
        <v>1127</v>
      </c>
    </row>
    <row r="1122" spans="1:3" ht="15">
      <c r="A1122" s="90" t="s">
        <v>334</v>
      </c>
      <c r="B1122" s="89" t="s">
        <v>3613</v>
      </c>
      <c r="C1122" s="102" t="s">
        <v>1127</v>
      </c>
    </row>
    <row r="1123" spans="1:3" ht="15">
      <c r="A1123" s="90" t="s">
        <v>334</v>
      </c>
      <c r="B1123" s="89" t="s">
        <v>3614</v>
      </c>
      <c r="C1123" s="102" t="s">
        <v>1127</v>
      </c>
    </row>
    <row r="1124" spans="1:3" ht="15">
      <c r="A1124" s="90" t="s">
        <v>334</v>
      </c>
      <c r="B1124" s="89" t="s">
        <v>3615</v>
      </c>
      <c r="C1124" s="102" t="s">
        <v>1127</v>
      </c>
    </row>
    <row r="1125" spans="1:3" ht="15">
      <c r="A1125" s="90" t="s">
        <v>334</v>
      </c>
      <c r="B1125" s="89" t="s">
        <v>3137</v>
      </c>
      <c r="C1125" s="102" t="s">
        <v>1127</v>
      </c>
    </row>
    <row r="1126" spans="1:3" ht="15">
      <c r="A1126" s="90" t="s">
        <v>334</v>
      </c>
      <c r="B1126" s="89" t="s">
        <v>3616</v>
      </c>
      <c r="C1126" s="102" t="s">
        <v>1127</v>
      </c>
    </row>
    <row r="1127" spans="1:3" ht="15">
      <c r="A1127" s="90" t="s">
        <v>334</v>
      </c>
      <c r="B1127" s="89" t="s">
        <v>3617</v>
      </c>
      <c r="C1127" s="102" t="s">
        <v>1127</v>
      </c>
    </row>
    <row r="1128" spans="1:3" ht="15">
      <c r="A1128" s="90" t="s">
        <v>334</v>
      </c>
      <c r="B1128" s="89" t="s">
        <v>3475</v>
      </c>
      <c r="C1128" s="102" t="s">
        <v>1127</v>
      </c>
    </row>
    <row r="1129" spans="1:3" ht="15">
      <c r="A1129" s="90" t="s">
        <v>334</v>
      </c>
      <c r="B1129" s="89" t="s">
        <v>3618</v>
      </c>
      <c r="C1129" s="102" t="s">
        <v>1127</v>
      </c>
    </row>
    <row r="1130" spans="1:3" ht="15">
      <c r="A1130" s="90" t="s">
        <v>334</v>
      </c>
      <c r="B1130" s="89" t="s">
        <v>2833</v>
      </c>
      <c r="C1130" s="102" t="s">
        <v>1127</v>
      </c>
    </row>
    <row r="1131" spans="1:3" ht="15">
      <c r="A1131" s="90" t="s">
        <v>334</v>
      </c>
      <c r="B1131" s="89" t="s">
        <v>2685</v>
      </c>
      <c r="C1131" s="102" t="s">
        <v>1127</v>
      </c>
    </row>
    <row r="1132" spans="1:3" ht="15">
      <c r="A1132" s="90" t="s">
        <v>334</v>
      </c>
      <c r="B1132" s="89" t="s">
        <v>3619</v>
      </c>
      <c r="C1132" s="102" t="s">
        <v>1127</v>
      </c>
    </row>
    <row r="1133" spans="1:3" ht="15">
      <c r="A1133" s="90" t="s">
        <v>334</v>
      </c>
      <c r="B1133" s="89" t="s">
        <v>3227</v>
      </c>
      <c r="C1133" s="102" t="s">
        <v>1127</v>
      </c>
    </row>
    <row r="1134" spans="1:3" ht="15">
      <c r="A1134" s="90" t="s">
        <v>334</v>
      </c>
      <c r="B1134" s="89" t="s">
        <v>3620</v>
      </c>
      <c r="C1134" s="102" t="s">
        <v>1127</v>
      </c>
    </row>
    <row r="1135" spans="1:3" ht="15">
      <c r="A1135" s="90" t="s">
        <v>334</v>
      </c>
      <c r="B1135" s="89" t="s">
        <v>3621</v>
      </c>
      <c r="C1135" s="102" t="s">
        <v>1127</v>
      </c>
    </row>
    <row r="1136" spans="1:3" ht="15">
      <c r="A1136" s="90" t="s">
        <v>334</v>
      </c>
      <c r="B1136" s="89" t="s">
        <v>3622</v>
      </c>
      <c r="C1136" s="102" t="s">
        <v>1127</v>
      </c>
    </row>
    <row r="1137" spans="1:3" ht="15">
      <c r="A1137" s="90" t="s">
        <v>334</v>
      </c>
      <c r="B1137" s="89" t="s">
        <v>3623</v>
      </c>
      <c r="C1137" s="102" t="s">
        <v>1127</v>
      </c>
    </row>
    <row r="1138" spans="1:3" ht="15">
      <c r="A1138" s="90" t="s">
        <v>334</v>
      </c>
      <c r="B1138" s="89" t="s">
        <v>3624</v>
      </c>
      <c r="C1138" s="102" t="s">
        <v>1127</v>
      </c>
    </row>
    <row r="1139" spans="1:3" ht="15">
      <c r="A1139" s="90" t="s">
        <v>334</v>
      </c>
      <c r="B1139" s="89" t="s">
        <v>3625</v>
      </c>
      <c r="C1139" s="102" t="s">
        <v>1127</v>
      </c>
    </row>
    <row r="1140" spans="1:3" ht="15">
      <c r="A1140" s="90" t="s">
        <v>334</v>
      </c>
      <c r="B1140" s="89" t="s">
        <v>3626</v>
      </c>
      <c r="C1140" s="102" t="s">
        <v>1127</v>
      </c>
    </row>
    <row r="1141" spans="1:3" ht="15">
      <c r="A1141" s="90" t="s">
        <v>334</v>
      </c>
      <c r="B1141" s="89" t="s">
        <v>3627</v>
      </c>
      <c r="C1141" s="102" t="s">
        <v>1127</v>
      </c>
    </row>
    <row r="1142" spans="1:3" ht="15">
      <c r="A1142" s="90" t="s">
        <v>334</v>
      </c>
      <c r="B1142" s="89" t="s">
        <v>3628</v>
      </c>
      <c r="C1142" s="102" t="s">
        <v>1127</v>
      </c>
    </row>
    <row r="1143" spans="1:3" ht="15">
      <c r="A1143" s="90" t="s">
        <v>334</v>
      </c>
      <c r="B1143" s="89" t="s">
        <v>3211</v>
      </c>
      <c r="C1143" s="102" t="s">
        <v>1127</v>
      </c>
    </row>
    <row r="1144" spans="1:3" ht="15">
      <c r="A1144" s="90" t="s">
        <v>334</v>
      </c>
      <c r="B1144" s="89" t="s">
        <v>712</v>
      </c>
      <c r="C1144" s="102" t="s">
        <v>1127</v>
      </c>
    </row>
    <row r="1145" spans="1:3" ht="15">
      <c r="A1145" s="90" t="s">
        <v>334</v>
      </c>
      <c r="B1145" s="89" t="s">
        <v>3245</v>
      </c>
      <c r="C1145" s="102" t="s">
        <v>1126</v>
      </c>
    </row>
    <row r="1146" spans="1:3" ht="15">
      <c r="A1146" s="90" t="s">
        <v>334</v>
      </c>
      <c r="B1146" s="89" t="s">
        <v>3247</v>
      </c>
      <c r="C1146" s="102" t="s">
        <v>1126</v>
      </c>
    </row>
    <row r="1147" spans="1:3" ht="15">
      <c r="A1147" s="90" t="s">
        <v>334</v>
      </c>
      <c r="B1147" s="89" t="s">
        <v>3629</v>
      </c>
      <c r="C1147" s="102" t="s">
        <v>1126</v>
      </c>
    </row>
    <row r="1148" spans="1:3" ht="15">
      <c r="A1148" s="90" t="s">
        <v>334</v>
      </c>
      <c r="B1148" s="89" t="s">
        <v>2664</v>
      </c>
      <c r="C1148" s="102" t="s">
        <v>1126</v>
      </c>
    </row>
    <row r="1149" spans="1:3" ht="15">
      <c r="A1149" s="90" t="s">
        <v>334</v>
      </c>
      <c r="B1149" s="89" t="s">
        <v>3346</v>
      </c>
      <c r="C1149" s="102" t="s">
        <v>1126</v>
      </c>
    </row>
    <row r="1150" spans="1:3" ht="15">
      <c r="A1150" s="90" t="s">
        <v>334</v>
      </c>
      <c r="B1150" s="89" t="s">
        <v>2853</v>
      </c>
      <c r="C1150" s="102" t="s">
        <v>1126</v>
      </c>
    </row>
    <row r="1151" spans="1:3" ht="15">
      <c r="A1151" s="90" t="s">
        <v>334</v>
      </c>
      <c r="B1151" s="89" t="s">
        <v>2854</v>
      </c>
      <c r="C1151" s="102" t="s">
        <v>1126</v>
      </c>
    </row>
    <row r="1152" spans="1:3" ht="15">
      <c r="A1152" s="90" t="s">
        <v>334</v>
      </c>
      <c r="B1152" s="89" t="s">
        <v>2783</v>
      </c>
      <c r="C1152" s="102" t="s">
        <v>1126</v>
      </c>
    </row>
    <row r="1153" spans="1:3" ht="15">
      <c r="A1153" s="90" t="s">
        <v>334</v>
      </c>
      <c r="B1153" s="89" t="s">
        <v>2855</v>
      </c>
      <c r="C1153" s="102" t="s">
        <v>1126</v>
      </c>
    </row>
    <row r="1154" spans="1:3" ht="15">
      <c r="A1154" s="90" t="s">
        <v>334</v>
      </c>
      <c r="B1154" s="89" t="s">
        <v>3211</v>
      </c>
      <c r="C1154" s="102" t="s">
        <v>1126</v>
      </c>
    </row>
    <row r="1155" spans="1:3" ht="15">
      <c r="A1155" s="90" t="s">
        <v>334</v>
      </c>
      <c r="B1155" s="89" t="s">
        <v>2856</v>
      </c>
      <c r="C1155" s="102" t="s">
        <v>1126</v>
      </c>
    </row>
    <row r="1156" spans="1:3" ht="15">
      <c r="A1156" s="90" t="s">
        <v>334</v>
      </c>
      <c r="B1156" s="89" t="s">
        <v>2857</v>
      </c>
      <c r="C1156" s="102" t="s">
        <v>1126</v>
      </c>
    </row>
    <row r="1157" spans="1:3" ht="15">
      <c r="A1157" s="90" t="s">
        <v>334</v>
      </c>
      <c r="B1157" s="89" t="s">
        <v>3204</v>
      </c>
      <c r="C1157" s="102" t="s">
        <v>1126</v>
      </c>
    </row>
    <row r="1158" spans="1:3" ht="15">
      <c r="A1158" s="90" t="s">
        <v>334</v>
      </c>
      <c r="B1158" s="89" t="s">
        <v>3141</v>
      </c>
      <c r="C1158" s="102" t="s">
        <v>1126</v>
      </c>
    </row>
    <row r="1159" spans="1:3" ht="15">
      <c r="A1159" s="90" t="s">
        <v>334</v>
      </c>
      <c r="B1159" s="89" t="s">
        <v>3630</v>
      </c>
      <c r="C1159" s="102" t="s">
        <v>1126</v>
      </c>
    </row>
    <row r="1160" spans="1:3" ht="15">
      <c r="A1160" s="90" t="s">
        <v>334</v>
      </c>
      <c r="B1160" s="89" t="s">
        <v>3631</v>
      </c>
      <c r="C1160" s="102" t="s">
        <v>1126</v>
      </c>
    </row>
    <row r="1161" spans="1:3" ht="15">
      <c r="A1161" s="90" t="s">
        <v>334</v>
      </c>
      <c r="B1161" s="89" t="s">
        <v>3137</v>
      </c>
      <c r="C1161" s="102" t="s">
        <v>1126</v>
      </c>
    </row>
    <row r="1162" spans="1:3" ht="15">
      <c r="A1162" s="90" t="s">
        <v>334</v>
      </c>
      <c r="B1162" s="89" t="s">
        <v>3192</v>
      </c>
      <c r="C1162" s="102" t="s">
        <v>1126</v>
      </c>
    </row>
    <row r="1163" spans="1:3" ht="15">
      <c r="A1163" s="90" t="s">
        <v>334</v>
      </c>
      <c r="B1163" s="89" t="s">
        <v>2710</v>
      </c>
      <c r="C1163" s="102" t="s">
        <v>1126</v>
      </c>
    </row>
    <row r="1164" spans="1:3" ht="15">
      <c r="A1164" s="90" t="s">
        <v>334</v>
      </c>
      <c r="B1164" s="89" t="s">
        <v>3632</v>
      </c>
      <c r="C1164" s="102" t="s">
        <v>1126</v>
      </c>
    </row>
    <row r="1165" spans="1:3" ht="15">
      <c r="A1165" s="90" t="s">
        <v>334</v>
      </c>
      <c r="B1165" s="89" t="s">
        <v>3633</v>
      </c>
      <c r="C1165" s="102" t="s">
        <v>1126</v>
      </c>
    </row>
    <row r="1166" spans="1:3" ht="15">
      <c r="A1166" s="90" t="s">
        <v>334</v>
      </c>
      <c r="B1166" s="89" t="s">
        <v>2751</v>
      </c>
      <c r="C1166" s="102" t="s">
        <v>1126</v>
      </c>
    </row>
    <row r="1167" spans="1:3" ht="15">
      <c r="A1167" s="90" t="s">
        <v>334</v>
      </c>
      <c r="B1167" s="89" t="s">
        <v>3173</v>
      </c>
      <c r="C1167" s="102" t="s">
        <v>1126</v>
      </c>
    </row>
    <row r="1168" spans="1:3" ht="15">
      <c r="A1168" s="90" t="s">
        <v>334</v>
      </c>
      <c r="B1168" s="89" t="s">
        <v>2858</v>
      </c>
      <c r="C1168" s="102" t="s">
        <v>1126</v>
      </c>
    </row>
    <row r="1169" spans="1:3" ht="15">
      <c r="A1169" s="90" t="s">
        <v>334</v>
      </c>
      <c r="B1169" s="89" t="s">
        <v>3165</v>
      </c>
      <c r="C1169" s="102" t="s">
        <v>1126</v>
      </c>
    </row>
    <row r="1170" spans="1:3" ht="15">
      <c r="A1170" s="90" t="s">
        <v>334</v>
      </c>
      <c r="B1170" s="89" t="s">
        <v>2707</v>
      </c>
      <c r="C1170" s="102" t="s">
        <v>1126</v>
      </c>
    </row>
    <row r="1171" spans="1:3" ht="15">
      <c r="A1171" s="90" t="s">
        <v>334</v>
      </c>
      <c r="B1171" s="89" t="s">
        <v>2859</v>
      </c>
      <c r="C1171" s="102" t="s">
        <v>1126</v>
      </c>
    </row>
    <row r="1172" spans="1:3" ht="15">
      <c r="A1172" s="90" t="s">
        <v>334</v>
      </c>
      <c r="B1172" s="89" t="s">
        <v>3582</v>
      </c>
      <c r="C1172" s="102" t="s">
        <v>1126</v>
      </c>
    </row>
    <row r="1173" spans="1:3" ht="15">
      <c r="A1173" s="90" t="s">
        <v>334</v>
      </c>
      <c r="B1173" s="89" t="s">
        <v>2730</v>
      </c>
      <c r="C1173" s="102" t="s">
        <v>1126</v>
      </c>
    </row>
    <row r="1174" spans="1:3" ht="15">
      <c r="A1174" s="90" t="s">
        <v>334</v>
      </c>
      <c r="B1174" s="89" t="s">
        <v>2860</v>
      </c>
      <c r="C1174" s="102" t="s">
        <v>1126</v>
      </c>
    </row>
    <row r="1175" spans="1:3" ht="15">
      <c r="A1175" s="90" t="s">
        <v>334</v>
      </c>
      <c r="B1175" s="89" t="s">
        <v>2861</v>
      </c>
      <c r="C1175" s="102" t="s">
        <v>1126</v>
      </c>
    </row>
    <row r="1176" spans="1:3" ht="15">
      <c r="A1176" s="90" t="s">
        <v>334</v>
      </c>
      <c r="B1176" s="89" t="s">
        <v>3563</v>
      </c>
      <c r="C1176" s="102" t="s">
        <v>1126</v>
      </c>
    </row>
    <row r="1177" spans="1:3" ht="15">
      <c r="A1177" s="90" t="s">
        <v>334</v>
      </c>
      <c r="B1177" s="89" t="s">
        <v>2862</v>
      </c>
      <c r="C1177" s="102" t="s">
        <v>1126</v>
      </c>
    </row>
    <row r="1178" spans="1:3" ht="15">
      <c r="A1178" s="90" t="s">
        <v>334</v>
      </c>
      <c r="B1178" s="89" t="s">
        <v>2863</v>
      </c>
      <c r="C1178" s="102" t="s">
        <v>1126</v>
      </c>
    </row>
    <row r="1179" spans="1:3" ht="15">
      <c r="A1179" s="90" t="s">
        <v>334</v>
      </c>
      <c r="B1179" s="89" t="s">
        <v>2784</v>
      </c>
      <c r="C1179" s="102" t="s">
        <v>1126</v>
      </c>
    </row>
    <row r="1180" spans="1:3" ht="15">
      <c r="A1180" s="90" t="s">
        <v>334</v>
      </c>
      <c r="B1180" s="89" t="s">
        <v>2864</v>
      </c>
      <c r="C1180" s="102" t="s">
        <v>1126</v>
      </c>
    </row>
    <row r="1181" spans="1:3" ht="15">
      <c r="A1181" s="90" t="s">
        <v>334</v>
      </c>
      <c r="B1181" s="89" t="s">
        <v>3311</v>
      </c>
      <c r="C1181" s="102" t="s">
        <v>1125</v>
      </c>
    </row>
    <row r="1182" spans="1:3" ht="15">
      <c r="A1182" s="90" t="s">
        <v>334</v>
      </c>
      <c r="B1182" s="89" t="s">
        <v>3312</v>
      </c>
      <c r="C1182" s="102" t="s">
        <v>1125</v>
      </c>
    </row>
    <row r="1183" spans="1:3" ht="15">
      <c r="A1183" s="90" t="s">
        <v>334</v>
      </c>
      <c r="B1183" s="89" t="s">
        <v>2687</v>
      </c>
      <c r="C1183" s="102" t="s">
        <v>1125</v>
      </c>
    </row>
    <row r="1184" spans="1:3" ht="15">
      <c r="A1184" s="90" t="s">
        <v>334</v>
      </c>
      <c r="B1184" s="89" t="s">
        <v>2688</v>
      </c>
      <c r="C1184" s="102" t="s">
        <v>1125</v>
      </c>
    </row>
    <row r="1185" spans="1:3" ht="15">
      <c r="A1185" s="90" t="s">
        <v>334</v>
      </c>
      <c r="B1185" s="89" t="s">
        <v>2689</v>
      </c>
      <c r="C1185" s="102" t="s">
        <v>1125</v>
      </c>
    </row>
    <row r="1186" spans="1:3" ht="15">
      <c r="A1186" s="90" t="s">
        <v>334</v>
      </c>
      <c r="B1186" s="89" t="s">
        <v>2690</v>
      </c>
      <c r="C1186" s="102" t="s">
        <v>1125</v>
      </c>
    </row>
    <row r="1187" spans="1:3" ht="15">
      <c r="A1187" s="90" t="s">
        <v>334</v>
      </c>
      <c r="B1187" s="89" t="s">
        <v>2691</v>
      </c>
      <c r="C1187" s="102" t="s">
        <v>1125</v>
      </c>
    </row>
    <row r="1188" spans="1:3" ht="15">
      <c r="A1188" s="90" t="s">
        <v>334</v>
      </c>
      <c r="B1188" s="89" t="s">
        <v>2692</v>
      </c>
      <c r="C1188" s="102" t="s">
        <v>1125</v>
      </c>
    </row>
    <row r="1189" spans="1:3" ht="15">
      <c r="A1189" s="90" t="s">
        <v>334</v>
      </c>
      <c r="B1189" s="89" t="s">
        <v>2693</v>
      </c>
      <c r="C1189" s="102" t="s">
        <v>1125</v>
      </c>
    </row>
    <row r="1190" spans="1:3" ht="15">
      <c r="A1190" s="90" t="s">
        <v>334</v>
      </c>
      <c r="B1190" s="89" t="s">
        <v>3313</v>
      </c>
      <c r="C1190" s="102" t="s">
        <v>1125</v>
      </c>
    </row>
    <row r="1191" spans="1:3" ht="15">
      <c r="A1191" s="90" t="s">
        <v>334</v>
      </c>
      <c r="B1191" s="89" t="s">
        <v>2694</v>
      </c>
      <c r="C1191" s="102" t="s">
        <v>1125</v>
      </c>
    </row>
    <row r="1192" spans="1:3" ht="15">
      <c r="A1192" s="90" t="s">
        <v>334</v>
      </c>
      <c r="B1192" s="89" t="s">
        <v>3137</v>
      </c>
      <c r="C1192" s="102" t="s">
        <v>1125</v>
      </c>
    </row>
    <row r="1193" spans="1:3" ht="15">
      <c r="A1193" s="90" t="s">
        <v>334</v>
      </c>
      <c r="B1193" s="89" t="s">
        <v>2695</v>
      </c>
      <c r="C1193" s="102" t="s">
        <v>1125</v>
      </c>
    </row>
    <row r="1194" spans="1:3" ht="15">
      <c r="A1194" s="90" t="s">
        <v>334</v>
      </c>
      <c r="B1194" s="89" t="s">
        <v>2696</v>
      </c>
      <c r="C1194" s="102" t="s">
        <v>1125</v>
      </c>
    </row>
    <row r="1195" spans="1:3" ht="15">
      <c r="A1195" s="90" t="s">
        <v>334</v>
      </c>
      <c r="B1195" s="89" t="s">
        <v>3314</v>
      </c>
      <c r="C1195" s="102" t="s">
        <v>1125</v>
      </c>
    </row>
    <row r="1196" spans="1:3" ht="15">
      <c r="A1196" s="90" t="s">
        <v>334</v>
      </c>
      <c r="B1196" s="89" t="s">
        <v>712</v>
      </c>
      <c r="C1196" s="102" t="s">
        <v>1125</v>
      </c>
    </row>
    <row r="1197" spans="1:3" ht="15">
      <c r="A1197" s="90" t="s">
        <v>334</v>
      </c>
      <c r="B1197" s="89" t="s">
        <v>3315</v>
      </c>
      <c r="C1197" s="102" t="s">
        <v>1125</v>
      </c>
    </row>
    <row r="1198" spans="1:3" ht="15">
      <c r="A1198" s="90" t="s">
        <v>334</v>
      </c>
      <c r="B1198" s="89" t="s">
        <v>2699</v>
      </c>
      <c r="C1198" s="102" t="s">
        <v>1125</v>
      </c>
    </row>
    <row r="1199" spans="1:3" ht="15">
      <c r="A1199" s="90" t="s">
        <v>334</v>
      </c>
      <c r="B1199" s="89" t="s">
        <v>2700</v>
      </c>
      <c r="C1199" s="102" t="s">
        <v>1125</v>
      </c>
    </row>
    <row r="1200" spans="1:3" ht="15">
      <c r="A1200" s="90" t="s">
        <v>334</v>
      </c>
      <c r="B1200" s="89" t="s">
        <v>2701</v>
      </c>
      <c r="C1200" s="102" t="s">
        <v>1125</v>
      </c>
    </row>
    <row r="1201" spans="1:3" ht="15">
      <c r="A1201" s="90" t="s">
        <v>334</v>
      </c>
      <c r="B1201" s="89" t="s">
        <v>3316</v>
      </c>
      <c r="C1201" s="102" t="s">
        <v>1125</v>
      </c>
    </row>
    <row r="1202" spans="1:3" ht="15">
      <c r="A1202" s="90" t="s">
        <v>334</v>
      </c>
      <c r="B1202" s="89" t="s">
        <v>2680</v>
      </c>
      <c r="C1202" s="102" t="s">
        <v>1125</v>
      </c>
    </row>
    <row r="1203" spans="1:3" ht="15">
      <c r="A1203" s="90" t="s">
        <v>334</v>
      </c>
      <c r="B1203" s="89" t="s">
        <v>2702</v>
      </c>
      <c r="C1203" s="102" t="s">
        <v>1125</v>
      </c>
    </row>
    <row r="1204" spans="1:3" ht="15">
      <c r="A1204" s="90" t="s">
        <v>334</v>
      </c>
      <c r="B1204" s="89" t="s">
        <v>2703</v>
      </c>
      <c r="C1204" s="102" t="s">
        <v>1125</v>
      </c>
    </row>
    <row r="1205" spans="1:3" ht="15">
      <c r="A1205" s="90" t="s">
        <v>334</v>
      </c>
      <c r="B1205" s="89" t="s">
        <v>3317</v>
      </c>
      <c r="C1205" s="102" t="s">
        <v>1125</v>
      </c>
    </row>
    <row r="1206" spans="1:3" ht="15">
      <c r="A1206" s="90" t="s">
        <v>334</v>
      </c>
      <c r="B1206" s="89" t="s">
        <v>3318</v>
      </c>
      <c r="C1206" s="102" t="s">
        <v>1125</v>
      </c>
    </row>
    <row r="1207" spans="1:3" ht="15">
      <c r="A1207" s="90" t="s">
        <v>334</v>
      </c>
      <c r="B1207" s="89" t="s">
        <v>226</v>
      </c>
      <c r="C1207" s="102" t="s">
        <v>1125</v>
      </c>
    </row>
    <row r="1208" spans="1:3" ht="15">
      <c r="A1208" s="90" t="s">
        <v>333</v>
      </c>
      <c r="B1208" s="89" t="s">
        <v>3245</v>
      </c>
      <c r="C1208" s="102" t="s">
        <v>1124</v>
      </c>
    </row>
    <row r="1209" spans="1:3" ht="15">
      <c r="A1209" s="90" t="s">
        <v>333</v>
      </c>
      <c r="B1209" s="89" t="s">
        <v>3247</v>
      </c>
      <c r="C1209" s="102" t="s">
        <v>1124</v>
      </c>
    </row>
    <row r="1210" spans="1:3" ht="15">
      <c r="A1210" s="90" t="s">
        <v>333</v>
      </c>
      <c r="B1210" s="89" t="s">
        <v>3189</v>
      </c>
      <c r="C1210" s="102" t="s">
        <v>1124</v>
      </c>
    </row>
    <row r="1211" spans="1:3" ht="15">
      <c r="A1211" s="90" t="s">
        <v>333</v>
      </c>
      <c r="B1211" s="89" t="s">
        <v>3634</v>
      </c>
      <c r="C1211" s="102" t="s">
        <v>1124</v>
      </c>
    </row>
    <row r="1212" spans="1:3" ht="15">
      <c r="A1212" s="90" t="s">
        <v>333</v>
      </c>
      <c r="B1212" s="89" t="s">
        <v>3635</v>
      </c>
      <c r="C1212" s="102" t="s">
        <v>1124</v>
      </c>
    </row>
    <row r="1213" spans="1:3" ht="15">
      <c r="A1213" s="90" t="s">
        <v>333</v>
      </c>
      <c r="B1213" s="89" t="s">
        <v>3636</v>
      </c>
      <c r="C1213" s="102" t="s">
        <v>1124</v>
      </c>
    </row>
    <row r="1214" spans="1:3" ht="15">
      <c r="A1214" s="90" t="s">
        <v>333</v>
      </c>
      <c r="B1214" s="89" t="s">
        <v>3637</v>
      </c>
      <c r="C1214" s="102" t="s">
        <v>1124</v>
      </c>
    </row>
    <row r="1215" spans="1:3" ht="15">
      <c r="A1215" s="90" t="s">
        <v>333</v>
      </c>
      <c r="B1215" s="89" t="s">
        <v>3638</v>
      </c>
      <c r="C1215" s="102" t="s">
        <v>1124</v>
      </c>
    </row>
    <row r="1216" spans="1:3" ht="15">
      <c r="A1216" s="90" t="s">
        <v>333</v>
      </c>
      <c r="B1216" s="89" t="s">
        <v>3639</v>
      </c>
      <c r="C1216" s="102" t="s">
        <v>1124</v>
      </c>
    </row>
    <row r="1217" spans="1:3" ht="15">
      <c r="A1217" s="90" t="s">
        <v>333</v>
      </c>
      <c r="B1217" s="89" t="s">
        <v>3640</v>
      </c>
      <c r="C1217" s="102" t="s">
        <v>1124</v>
      </c>
    </row>
    <row r="1218" spans="1:3" ht="15">
      <c r="A1218" s="90" t="s">
        <v>333</v>
      </c>
      <c r="B1218" s="89" t="s">
        <v>3641</v>
      </c>
      <c r="C1218" s="102" t="s">
        <v>1124</v>
      </c>
    </row>
    <row r="1219" spans="1:3" ht="15">
      <c r="A1219" s="90" t="s">
        <v>333</v>
      </c>
      <c r="B1219" s="89" t="s">
        <v>712</v>
      </c>
      <c r="C1219" s="102" t="s">
        <v>1124</v>
      </c>
    </row>
    <row r="1220" spans="1:3" ht="15">
      <c r="A1220" s="90" t="s">
        <v>333</v>
      </c>
      <c r="B1220" s="89" t="s">
        <v>3155</v>
      </c>
      <c r="C1220" s="102" t="s">
        <v>1124</v>
      </c>
    </row>
    <row r="1221" spans="1:3" ht="15">
      <c r="A1221" s="90" t="s">
        <v>333</v>
      </c>
      <c r="B1221" s="89" t="s">
        <v>2706</v>
      </c>
      <c r="C1221" s="102" t="s">
        <v>1124</v>
      </c>
    </row>
    <row r="1222" spans="1:3" ht="15">
      <c r="A1222" s="90" t="s">
        <v>333</v>
      </c>
      <c r="B1222" s="89" t="s">
        <v>2685</v>
      </c>
      <c r="C1222" s="102" t="s">
        <v>1124</v>
      </c>
    </row>
    <row r="1223" spans="1:3" ht="15">
      <c r="A1223" s="90" t="s">
        <v>333</v>
      </c>
      <c r="B1223" s="89" t="s">
        <v>2977</v>
      </c>
      <c r="C1223" s="102" t="s">
        <v>1124</v>
      </c>
    </row>
    <row r="1224" spans="1:3" ht="15">
      <c r="A1224" s="90" t="s">
        <v>333</v>
      </c>
      <c r="B1224" s="89" t="s">
        <v>3141</v>
      </c>
      <c r="C1224" s="102" t="s">
        <v>1124</v>
      </c>
    </row>
    <row r="1225" spans="1:3" ht="15">
      <c r="A1225" s="90" t="s">
        <v>333</v>
      </c>
      <c r="B1225" s="89" t="s">
        <v>3642</v>
      </c>
      <c r="C1225" s="102" t="s">
        <v>1124</v>
      </c>
    </row>
    <row r="1226" spans="1:3" ht="15">
      <c r="A1226" s="90" t="s">
        <v>333</v>
      </c>
      <c r="B1226" s="89" t="s">
        <v>3303</v>
      </c>
      <c r="C1226" s="102" t="s">
        <v>1124</v>
      </c>
    </row>
    <row r="1227" spans="1:3" ht="15">
      <c r="A1227" s="90" t="s">
        <v>333</v>
      </c>
      <c r="B1227" s="89" t="s">
        <v>2974</v>
      </c>
      <c r="C1227" s="102" t="s">
        <v>1124</v>
      </c>
    </row>
    <row r="1228" spans="1:3" ht="15">
      <c r="A1228" s="90" t="s">
        <v>333</v>
      </c>
      <c r="B1228" s="89" t="s">
        <v>3643</v>
      </c>
      <c r="C1228" s="102" t="s">
        <v>1124</v>
      </c>
    </row>
    <row r="1229" spans="1:3" ht="15">
      <c r="A1229" s="90" t="s">
        <v>333</v>
      </c>
      <c r="B1229" s="89" t="s">
        <v>2682</v>
      </c>
      <c r="C1229" s="102" t="s">
        <v>1124</v>
      </c>
    </row>
    <row r="1230" spans="1:3" ht="15">
      <c r="A1230" s="90" t="s">
        <v>333</v>
      </c>
      <c r="B1230" s="89" t="s">
        <v>2717</v>
      </c>
      <c r="C1230" s="102" t="s">
        <v>1124</v>
      </c>
    </row>
    <row r="1231" spans="1:3" ht="15">
      <c r="A1231" s="90" t="s">
        <v>333</v>
      </c>
      <c r="B1231" s="89" t="s">
        <v>3644</v>
      </c>
      <c r="C1231" s="102" t="s">
        <v>1124</v>
      </c>
    </row>
    <row r="1232" spans="1:3" ht="15">
      <c r="A1232" s="90" t="s">
        <v>333</v>
      </c>
      <c r="B1232" s="89" t="s">
        <v>3645</v>
      </c>
      <c r="C1232" s="102" t="s">
        <v>1124</v>
      </c>
    </row>
    <row r="1233" spans="1:3" ht="15">
      <c r="A1233" s="90" t="s">
        <v>333</v>
      </c>
      <c r="B1233" s="89" t="s">
        <v>3646</v>
      </c>
      <c r="C1233" s="102" t="s">
        <v>1124</v>
      </c>
    </row>
    <row r="1234" spans="1:3" ht="15">
      <c r="A1234" s="90" t="s">
        <v>333</v>
      </c>
      <c r="B1234" s="89" t="s">
        <v>2978</v>
      </c>
      <c r="C1234" s="102" t="s">
        <v>1124</v>
      </c>
    </row>
    <row r="1235" spans="1:3" ht="15">
      <c r="A1235" s="90" t="s">
        <v>332</v>
      </c>
      <c r="B1235" s="89" t="s">
        <v>480</v>
      </c>
      <c r="C1235" s="102" t="s">
        <v>1121</v>
      </c>
    </row>
    <row r="1236" spans="1:3" ht="15">
      <c r="A1236" s="90" t="s">
        <v>332</v>
      </c>
      <c r="B1236" s="89" t="s">
        <v>3603</v>
      </c>
      <c r="C1236" s="102" t="s">
        <v>1121</v>
      </c>
    </row>
    <row r="1237" spans="1:3" ht="15">
      <c r="A1237" s="90" t="s">
        <v>332</v>
      </c>
      <c r="B1237" s="89" t="s">
        <v>3647</v>
      </c>
      <c r="C1237" s="102" t="s">
        <v>1121</v>
      </c>
    </row>
    <row r="1238" spans="1:3" ht="15">
      <c r="A1238" s="90" t="s">
        <v>332</v>
      </c>
      <c r="B1238" s="89" t="s">
        <v>3347</v>
      </c>
      <c r="C1238" s="102" t="s">
        <v>1121</v>
      </c>
    </row>
    <row r="1239" spans="1:3" ht="15">
      <c r="A1239" s="90" t="s">
        <v>332</v>
      </c>
      <c r="B1239" s="89" t="s">
        <v>3137</v>
      </c>
      <c r="C1239" s="102" t="s">
        <v>1121</v>
      </c>
    </row>
    <row r="1240" spans="1:3" ht="15">
      <c r="A1240" s="90" t="s">
        <v>332</v>
      </c>
      <c r="B1240" s="89" t="s">
        <v>3648</v>
      </c>
      <c r="C1240" s="102" t="s">
        <v>1121</v>
      </c>
    </row>
    <row r="1241" spans="1:3" ht="15">
      <c r="A1241" s="90" t="s">
        <v>332</v>
      </c>
      <c r="B1241" s="89" t="s">
        <v>3649</v>
      </c>
      <c r="C1241" s="102" t="s">
        <v>1121</v>
      </c>
    </row>
    <row r="1242" spans="1:3" ht="15">
      <c r="A1242" s="90" t="s">
        <v>332</v>
      </c>
      <c r="B1242" s="89" t="s">
        <v>3650</v>
      </c>
      <c r="C1242" s="102" t="s">
        <v>1121</v>
      </c>
    </row>
    <row r="1243" spans="1:3" ht="15">
      <c r="A1243" s="90" t="s">
        <v>332</v>
      </c>
      <c r="B1243" s="89" t="s">
        <v>3155</v>
      </c>
      <c r="C1243" s="102" t="s">
        <v>1121</v>
      </c>
    </row>
    <row r="1244" spans="1:3" ht="15">
      <c r="A1244" s="90" t="s">
        <v>332</v>
      </c>
      <c r="B1244" s="89" t="s">
        <v>3253</v>
      </c>
      <c r="C1244" s="102" t="s">
        <v>1121</v>
      </c>
    </row>
    <row r="1245" spans="1:3" ht="15">
      <c r="A1245" s="90" t="s">
        <v>332</v>
      </c>
      <c r="B1245" s="89" t="s">
        <v>3309</v>
      </c>
      <c r="C1245" s="102" t="s">
        <v>1121</v>
      </c>
    </row>
    <row r="1246" spans="1:3" ht="15">
      <c r="A1246" s="90" t="s">
        <v>332</v>
      </c>
      <c r="B1246" s="89" t="s">
        <v>712</v>
      </c>
      <c r="C1246" s="102" t="s">
        <v>1121</v>
      </c>
    </row>
    <row r="1247" spans="1:3" ht="15">
      <c r="A1247" s="90" t="s">
        <v>332</v>
      </c>
      <c r="B1247" s="89" t="s">
        <v>3196</v>
      </c>
      <c r="C1247" s="102" t="s">
        <v>1121</v>
      </c>
    </row>
    <row r="1248" spans="1:3" ht="15">
      <c r="A1248" s="90" t="s">
        <v>332</v>
      </c>
      <c r="B1248" s="89" t="s">
        <v>3651</v>
      </c>
      <c r="C1248" s="102" t="s">
        <v>1121</v>
      </c>
    </row>
    <row r="1249" spans="1:3" ht="15">
      <c r="A1249" s="90" t="s">
        <v>332</v>
      </c>
      <c r="B1249" s="89" t="s">
        <v>3652</v>
      </c>
      <c r="C1249" s="102" t="s">
        <v>1121</v>
      </c>
    </row>
    <row r="1250" spans="1:3" ht="15">
      <c r="A1250" s="90" t="s">
        <v>332</v>
      </c>
      <c r="B1250" s="89" t="s">
        <v>3289</v>
      </c>
      <c r="C1250" s="102" t="s">
        <v>1121</v>
      </c>
    </row>
    <row r="1251" spans="1:3" ht="15">
      <c r="A1251" s="90" t="s">
        <v>332</v>
      </c>
      <c r="B1251" s="89" t="s">
        <v>3653</v>
      </c>
      <c r="C1251" s="102" t="s">
        <v>1121</v>
      </c>
    </row>
    <row r="1252" spans="1:3" ht="15">
      <c r="A1252" s="90" t="s">
        <v>332</v>
      </c>
      <c r="B1252" s="89" t="s">
        <v>2979</v>
      </c>
      <c r="C1252" s="102" t="s">
        <v>1121</v>
      </c>
    </row>
    <row r="1253" spans="1:3" ht="15">
      <c r="A1253" s="90" t="s">
        <v>332</v>
      </c>
      <c r="B1253" s="89" t="s">
        <v>3404</v>
      </c>
      <c r="C1253" s="102" t="s">
        <v>1121</v>
      </c>
    </row>
    <row r="1254" spans="1:3" ht="15">
      <c r="A1254" s="90" t="s">
        <v>332</v>
      </c>
      <c r="B1254" s="89" t="s">
        <v>3201</v>
      </c>
      <c r="C1254" s="102" t="s">
        <v>1121</v>
      </c>
    </row>
    <row r="1255" spans="1:3" ht="15">
      <c r="A1255" s="90" t="s">
        <v>332</v>
      </c>
      <c r="B1255" s="89" t="s">
        <v>2840</v>
      </c>
      <c r="C1255" s="102" t="s">
        <v>1121</v>
      </c>
    </row>
    <row r="1256" spans="1:3" ht="15">
      <c r="A1256" s="90" t="s">
        <v>332</v>
      </c>
      <c r="B1256" s="89" t="s">
        <v>3654</v>
      </c>
      <c r="C1256" s="102" t="s">
        <v>1121</v>
      </c>
    </row>
    <row r="1257" spans="1:3" ht="15">
      <c r="A1257" s="90" t="s">
        <v>332</v>
      </c>
      <c r="B1257" s="89" t="s">
        <v>3655</v>
      </c>
      <c r="C1257" s="102" t="s">
        <v>1121</v>
      </c>
    </row>
    <row r="1258" spans="1:3" ht="15">
      <c r="A1258" s="90" t="s">
        <v>332</v>
      </c>
      <c r="B1258" s="89" t="s">
        <v>3656</v>
      </c>
      <c r="C1258" s="102" t="s">
        <v>1121</v>
      </c>
    </row>
    <row r="1259" spans="1:3" ht="15">
      <c r="A1259" s="90" t="s">
        <v>332</v>
      </c>
      <c r="B1259" s="89" t="s">
        <v>3657</v>
      </c>
      <c r="C1259" s="102" t="s">
        <v>1121</v>
      </c>
    </row>
    <row r="1260" spans="1:3" ht="15">
      <c r="A1260" s="90" t="s">
        <v>332</v>
      </c>
      <c r="B1260" s="89" t="s">
        <v>3522</v>
      </c>
      <c r="C1260" s="102" t="s">
        <v>1121</v>
      </c>
    </row>
    <row r="1261" spans="1:3" ht="15">
      <c r="A1261" s="90" t="s">
        <v>332</v>
      </c>
      <c r="B1261" s="89" t="s">
        <v>3658</v>
      </c>
      <c r="C1261" s="102" t="s">
        <v>1121</v>
      </c>
    </row>
    <row r="1262" spans="1:3" ht="15">
      <c r="A1262" s="90" t="s">
        <v>332</v>
      </c>
      <c r="B1262" s="89" t="s">
        <v>3263</v>
      </c>
      <c r="C1262" s="102" t="s">
        <v>1121</v>
      </c>
    </row>
    <row r="1263" spans="1:3" ht="15">
      <c r="A1263" s="90" t="s">
        <v>332</v>
      </c>
      <c r="B1263" s="89" t="s">
        <v>3659</v>
      </c>
      <c r="C1263" s="102" t="s">
        <v>1121</v>
      </c>
    </row>
    <row r="1264" spans="1:3" ht="15">
      <c r="A1264" s="90" t="s">
        <v>332</v>
      </c>
      <c r="B1264" s="89" t="s">
        <v>331</v>
      </c>
      <c r="C1264" s="102" t="s">
        <v>1123</v>
      </c>
    </row>
    <row r="1265" spans="1:3" ht="15">
      <c r="A1265" s="90" t="s">
        <v>332</v>
      </c>
      <c r="B1265" s="89" t="s">
        <v>3660</v>
      </c>
      <c r="C1265" s="102" t="s">
        <v>1123</v>
      </c>
    </row>
    <row r="1266" spans="1:3" ht="15">
      <c r="A1266" s="90" t="s">
        <v>332</v>
      </c>
      <c r="B1266" s="89" t="s">
        <v>3661</v>
      </c>
      <c r="C1266" s="102" t="s">
        <v>1123</v>
      </c>
    </row>
    <row r="1267" spans="1:3" ht="15">
      <c r="A1267" s="90" t="s">
        <v>332</v>
      </c>
      <c r="B1267" s="89" t="s">
        <v>3662</v>
      </c>
      <c r="C1267" s="102" t="s">
        <v>1123</v>
      </c>
    </row>
    <row r="1268" spans="1:3" ht="15">
      <c r="A1268" s="90" t="s">
        <v>332</v>
      </c>
      <c r="B1268" s="89" t="s">
        <v>3663</v>
      </c>
      <c r="C1268" s="102" t="s">
        <v>1123</v>
      </c>
    </row>
    <row r="1269" spans="1:3" ht="15">
      <c r="A1269" s="90" t="s">
        <v>332</v>
      </c>
      <c r="B1269" s="89" t="s">
        <v>3664</v>
      </c>
      <c r="C1269" s="102" t="s">
        <v>1123</v>
      </c>
    </row>
    <row r="1270" spans="1:3" ht="15">
      <c r="A1270" s="90" t="s">
        <v>332</v>
      </c>
      <c r="B1270" s="89" t="s">
        <v>2737</v>
      </c>
      <c r="C1270" s="102" t="s">
        <v>1123</v>
      </c>
    </row>
    <row r="1271" spans="1:3" ht="15">
      <c r="A1271" s="90" t="s">
        <v>332</v>
      </c>
      <c r="B1271" s="89" t="s">
        <v>2969</v>
      </c>
      <c r="C1271" s="102" t="s">
        <v>1123</v>
      </c>
    </row>
    <row r="1272" spans="1:3" ht="15">
      <c r="A1272" s="90" t="s">
        <v>332</v>
      </c>
      <c r="B1272" s="89" t="s">
        <v>3137</v>
      </c>
      <c r="C1272" s="102" t="s">
        <v>1123</v>
      </c>
    </row>
    <row r="1273" spans="1:3" ht="15">
      <c r="A1273" s="90" t="s">
        <v>332</v>
      </c>
      <c r="B1273" s="89" t="s">
        <v>3665</v>
      </c>
      <c r="C1273" s="102" t="s">
        <v>1123</v>
      </c>
    </row>
    <row r="1274" spans="1:3" ht="15">
      <c r="A1274" s="90" t="s">
        <v>332</v>
      </c>
      <c r="B1274" s="89" t="s">
        <v>2673</v>
      </c>
      <c r="C1274" s="102" t="s">
        <v>1123</v>
      </c>
    </row>
    <row r="1275" spans="1:3" ht="15">
      <c r="A1275" s="90" t="s">
        <v>332</v>
      </c>
      <c r="B1275" s="89" t="s">
        <v>3666</v>
      </c>
      <c r="C1275" s="102" t="s">
        <v>1123</v>
      </c>
    </row>
    <row r="1276" spans="1:3" ht="15">
      <c r="A1276" s="90" t="s">
        <v>332</v>
      </c>
      <c r="B1276" s="89" t="s">
        <v>3667</v>
      </c>
      <c r="C1276" s="102" t="s">
        <v>1123</v>
      </c>
    </row>
    <row r="1277" spans="1:3" ht="15">
      <c r="A1277" s="90" t="s">
        <v>332</v>
      </c>
      <c r="B1277" s="89" t="s">
        <v>3668</v>
      </c>
      <c r="C1277" s="102" t="s">
        <v>1123</v>
      </c>
    </row>
    <row r="1278" spans="1:3" ht="15">
      <c r="A1278" s="90" t="s">
        <v>332</v>
      </c>
      <c r="B1278" s="89" t="s">
        <v>3227</v>
      </c>
      <c r="C1278" s="102" t="s">
        <v>1123</v>
      </c>
    </row>
    <row r="1279" spans="1:3" ht="15">
      <c r="A1279" s="90" t="s">
        <v>332</v>
      </c>
      <c r="B1279" s="89" t="s">
        <v>2980</v>
      </c>
      <c r="C1279" s="102" t="s">
        <v>1123</v>
      </c>
    </row>
    <row r="1280" spans="1:3" ht="15">
      <c r="A1280" s="90" t="s">
        <v>332</v>
      </c>
      <c r="B1280" s="89" t="s">
        <v>3669</v>
      </c>
      <c r="C1280" s="102" t="s">
        <v>1123</v>
      </c>
    </row>
    <row r="1281" spans="1:3" ht="15">
      <c r="A1281" s="90" t="s">
        <v>332</v>
      </c>
      <c r="B1281" s="89" t="s">
        <v>3670</v>
      </c>
      <c r="C1281" s="102" t="s">
        <v>1123</v>
      </c>
    </row>
    <row r="1282" spans="1:3" ht="15">
      <c r="A1282" s="90" t="s">
        <v>332</v>
      </c>
      <c r="B1282" s="89" t="s">
        <v>3671</v>
      </c>
      <c r="C1282" s="102" t="s">
        <v>1123</v>
      </c>
    </row>
    <row r="1283" spans="1:3" ht="15">
      <c r="A1283" s="90" t="s">
        <v>332</v>
      </c>
      <c r="B1283" s="89" t="s">
        <v>3305</v>
      </c>
      <c r="C1283" s="102" t="s">
        <v>1123</v>
      </c>
    </row>
    <row r="1284" spans="1:3" ht="15">
      <c r="A1284" s="90" t="s">
        <v>332</v>
      </c>
      <c r="B1284" s="89" t="s">
        <v>2785</v>
      </c>
      <c r="C1284" s="102" t="s">
        <v>1123</v>
      </c>
    </row>
    <row r="1285" spans="1:3" ht="15">
      <c r="A1285" s="90" t="s">
        <v>332</v>
      </c>
      <c r="B1285" s="89" t="s">
        <v>3672</v>
      </c>
      <c r="C1285" s="102" t="s">
        <v>1123</v>
      </c>
    </row>
    <row r="1286" spans="1:3" ht="15">
      <c r="A1286" s="90" t="s">
        <v>332</v>
      </c>
      <c r="B1286" s="89" t="s">
        <v>3149</v>
      </c>
      <c r="C1286" s="102" t="s">
        <v>1123</v>
      </c>
    </row>
    <row r="1287" spans="1:3" ht="15">
      <c r="A1287" s="90" t="s">
        <v>332</v>
      </c>
      <c r="B1287" s="89" t="s">
        <v>2866</v>
      </c>
      <c r="C1287" s="102" t="s">
        <v>1123</v>
      </c>
    </row>
    <row r="1288" spans="1:3" ht="15">
      <c r="A1288" s="90" t="s">
        <v>332</v>
      </c>
      <c r="B1288" s="89" t="s">
        <v>712</v>
      </c>
      <c r="C1288" s="102" t="s">
        <v>1123</v>
      </c>
    </row>
    <row r="1289" spans="1:3" ht="15">
      <c r="A1289" s="90" t="s">
        <v>332</v>
      </c>
      <c r="B1289" s="89" t="s">
        <v>3155</v>
      </c>
      <c r="C1289" s="102" t="s">
        <v>1123</v>
      </c>
    </row>
    <row r="1290" spans="1:3" ht="15">
      <c r="A1290" s="90" t="s">
        <v>332</v>
      </c>
      <c r="B1290" s="89" t="s">
        <v>3673</v>
      </c>
      <c r="C1290" s="102" t="s">
        <v>1123</v>
      </c>
    </row>
    <row r="1291" spans="1:3" ht="15">
      <c r="A1291" s="90" t="s">
        <v>332</v>
      </c>
      <c r="B1291" s="89" t="s">
        <v>3201</v>
      </c>
      <c r="C1291" s="102" t="s">
        <v>1123</v>
      </c>
    </row>
    <row r="1292" spans="1:3" ht="15">
      <c r="A1292" s="90" t="s">
        <v>332</v>
      </c>
      <c r="B1292" s="89" t="s">
        <v>3165</v>
      </c>
      <c r="C1292" s="102" t="s">
        <v>1123</v>
      </c>
    </row>
    <row r="1293" spans="1:3" ht="15">
      <c r="A1293" s="90" t="s">
        <v>332</v>
      </c>
      <c r="B1293" s="89">
        <v>2</v>
      </c>
      <c r="C1293" s="102" t="s">
        <v>1123</v>
      </c>
    </row>
    <row r="1294" spans="1:3" ht="15">
      <c r="A1294" s="90" t="s">
        <v>332</v>
      </c>
      <c r="B1294" s="89">
        <v>3</v>
      </c>
      <c r="C1294" s="102" t="s">
        <v>1123</v>
      </c>
    </row>
    <row r="1295" spans="1:3" ht="15">
      <c r="A1295" s="90" t="s">
        <v>332</v>
      </c>
      <c r="B1295" s="89" t="s">
        <v>2867</v>
      </c>
      <c r="C1295" s="102" t="s">
        <v>1123</v>
      </c>
    </row>
    <row r="1296" spans="1:3" ht="15">
      <c r="A1296" s="90" t="s">
        <v>332</v>
      </c>
      <c r="B1296" s="89" t="s">
        <v>2685</v>
      </c>
      <c r="C1296" s="102" t="s">
        <v>1123</v>
      </c>
    </row>
    <row r="1297" spans="1:3" ht="15">
      <c r="A1297" s="90" t="s">
        <v>331</v>
      </c>
      <c r="B1297" s="89" t="s">
        <v>3674</v>
      </c>
      <c r="C1297" s="102" t="s">
        <v>1122</v>
      </c>
    </row>
    <row r="1298" spans="1:3" ht="15">
      <c r="A1298" s="90" t="s">
        <v>331</v>
      </c>
      <c r="B1298" s="89" t="s">
        <v>3325</v>
      </c>
      <c r="C1298" s="102" t="s">
        <v>1122</v>
      </c>
    </row>
    <row r="1299" spans="1:3" ht="15">
      <c r="A1299" s="90" t="s">
        <v>331</v>
      </c>
      <c r="B1299" s="89" t="s">
        <v>3299</v>
      </c>
      <c r="C1299" s="102" t="s">
        <v>1122</v>
      </c>
    </row>
    <row r="1300" spans="1:3" ht="15">
      <c r="A1300" s="90" t="s">
        <v>331</v>
      </c>
      <c r="B1300" s="89" t="s">
        <v>3648</v>
      </c>
      <c r="C1300" s="102" t="s">
        <v>1122</v>
      </c>
    </row>
    <row r="1301" spans="1:3" ht="15">
      <c r="A1301" s="90" t="s">
        <v>331</v>
      </c>
      <c r="B1301" s="89" t="s">
        <v>3675</v>
      </c>
      <c r="C1301" s="102" t="s">
        <v>1122</v>
      </c>
    </row>
    <row r="1302" spans="1:3" ht="15">
      <c r="A1302" s="90" t="s">
        <v>331</v>
      </c>
      <c r="B1302" s="89" t="s">
        <v>3137</v>
      </c>
      <c r="C1302" s="102" t="s">
        <v>1122</v>
      </c>
    </row>
    <row r="1303" spans="1:3" ht="15">
      <c r="A1303" s="90" t="s">
        <v>331</v>
      </c>
      <c r="B1303" s="89" t="s">
        <v>2982</v>
      </c>
      <c r="C1303" s="102" t="s">
        <v>1122</v>
      </c>
    </row>
    <row r="1304" spans="1:3" ht="15">
      <c r="A1304" s="90" t="s">
        <v>331</v>
      </c>
      <c r="B1304" s="89" t="s">
        <v>2868</v>
      </c>
      <c r="C1304" s="102" t="s">
        <v>1122</v>
      </c>
    </row>
    <row r="1305" spans="1:3" ht="15">
      <c r="A1305" s="90" t="s">
        <v>331</v>
      </c>
      <c r="B1305" s="89" t="s">
        <v>2983</v>
      </c>
      <c r="C1305" s="102" t="s">
        <v>1122</v>
      </c>
    </row>
    <row r="1306" spans="1:3" ht="15">
      <c r="A1306" s="90" t="s">
        <v>331</v>
      </c>
      <c r="B1306" s="89" t="s">
        <v>3263</v>
      </c>
      <c r="C1306" s="102" t="s">
        <v>1122</v>
      </c>
    </row>
    <row r="1307" spans="1:3" ht="15">
      <c r="A1307" s="90" t="s">
        <v>331</v>
      </c>
      <c r="B1307" s="89" t="s">
        <v>3412</v>
      </c>
      <c r="C1307" s="102" t="s">
        <v>1122</v>
      </c>
    </row>
    <row r="1308" spans="1:3" ht="15">
      <c r="A1308" s="90" t="s">
        <v>331</v>
      </c>
      <c r="B1308" s="89" t="s">
        <v>3676</v>
      </c>
      <c r="C1308" s="102" t="s">
        <v>1122</v>
      </c>
    </row>
    <row r="1309" spans="1:3" ht="15">
      <c r="A1309" s="90" t="s">
        <v>331</v>
      </c>
      <c r="B1309" s="89" t="s">
        <v>3677</v>
      </c>
      <c r="C1309" s="102" t="s">
        <v>1122</v>
      </c>
    </row>
    <row r="1310" spans="1:3" ht="15">
      <c r="A1310" s="90" t="s">
        <v>331</v>
      </c>
      <c r="B1310" s="89" t="s">
        <v>3678</v>
      </c>
      <c r="C1310" s="102" t="s">
        <v>1122</v>
      </c>
    </row>
    <row r="1311" spans="1:3" ht="15">
      <c r="A1311" s="90" t="s">
        <v>331</v>
      </c>
      <c r="B1311" s="89" t="s">
        <v>3385</v>
      </c>
      <c r="C1311" s="102" t="s">
        <v>1122</v>
      </c>
    </row>
    <row r="1312" spans="1:3" ht="15">
      <c r="A1312" s="90" t="s">
        <v>331</v>
      </c>
      <c r="B1312" s="89" t="s">
        <v>3679</v>
      </c>
      <c r="C1312" s="102" t="s">
        <v>1122</v>
      </c>
    </row>
    <row r="1313" spans="1:3" ht="15">
      <c r="A1313" s="90" t="s">
        <v>331</v>
      </c>
      <c r="B1313" s="89" t="s">
        <v>712</v>
      </c>
      <c r="C1313" s="102" t="s">
        <v>1122</v>
      </c>
    </row>
    <row r="1314" spans="1:3" ht="15">
      <c r="A1314" s="90" t="s">
        <v>331</v>
      </c>
      <c r="B1314" s="89" t="s">
        <v>2741</v>
      </c>
      <c r="C1314" s="102" t="s">
        <v>1122</v>
      </c>
    </row>
    <row r="1315" spans="1:3" ht="15">
      <c r="A1315" s="90" t="s">
        <v>331</v>
      </c>
      <c r="B1315" s="89" t="s">
        <v>2984</v>
      </c>
      <c r="C1315" s="102" t="s">
        <v>1122</v>
      </c>
    </row>
    <row r="1316" spans="1:3" ht="15">
      <c r="A1316" s="90" t="s">
        <v>331</v>
      </c>
      <c r="B1316" s="89" t="s">
        <v>3680</v>
      </c>
      <c r="C1316" s="102" t="s">
        <v>1122</v>
      </c>
    </row>
    <row r="1317" spans="1:3" ht="15">
      <c r="A1317" s="90" t="s">
        <v>331</v>
      </c>
      <c r="B1317" s="89" t="s">
        <v>2673</v>
      </c>
      <c r="C1317" s="102" t="s">
        <v>1122</v>
      </c>
    </row>
    <row r="1318" spans="1:3" ht="15">
      <c r="A1318" s="90" t="s">
        <v>331</v>
      </c>
      <c r="B1318" s="89" t="s">
        <v>2985</v>
      </c>
      <c r="C1318" s="102" t="s">
        <v>1122</v>
      </c>
    </row>
    <row r="1319" spans="1:3" ht="15">
      <c r="A1319" s="90" t="s">
        <v>331</v>
      </c>
      <c r="B1319" s="89" t="s">
        <v>2814</v>
      </c>
      <c r="C1319" s="102" t="s">
        <v>1122</v>
      </c>
    </row>
    <row r="1320" spans="1:3" ht="15">
      <c r="A1320" s="90" t="s">
        <v>330</v>
      </c>
      <c r="B1320" s="89" t="s">
        <v>3681</v>
      </c>
      <c r="C1320" s="102" t="s">
        <v>1119</v>
      </c>
    </row>
    <row r="1321" spans="1:3" ht="15">
      <c r="A1321" s="90" t="s">
        <v>330</v>
      </c>
      <c r="B1321" s="89" t="s">
        <v>3682</v>
      </c>
      <c r="C1321" s="102" t="s">
        <v>1119</v>
      </c>
    </row>
    <row r="1322" spans="1:3" ht="15">
      <c r="A1322" s="90" t="s">
        <v>330</v>
      </c>
      <c r="B1322" s="89" t="s">
        <v>3141</v>
      </c>
      <c r="C1322" s="102" t="s">
        <v>1119</v>
      </c>
    </row>
    <row r="1323" spans="1:3" ht="15">
      <c r="A1323" s="90" t="s">
        <v>330</v>
      </c>
      <c r="B1323" s="89" t="s">
        <v>3201</v>
      </c>
      <c r="C1323" s="102" t="s">
        <v>1119</v>
      </c>
    </row>
    <row r="1324" spans="1:3" ht="15">
      <c r="A1324" s="90" t="s">
        <v>330</v>
      </c>
      <c r="B1324" s="89" t="s">
        <v>2682</v>
      </c>
      <c r="C1324" s="102" t="s">
        <v>1119</v>
      </c>
    </row>
    <row r="1325" spans="1:3" ht="15">
      <c r="A1325" s="90" t="s">
        <v>330</v>
      </c>
      <c r="B1325" s="89" t="s">
        <v>2720</v>
      </c>
      <c r="C1325" s="102" t="s">
        <v>1119</v>
      </c>
    </row>
    <row r="1326" spans="1:3" ht="15">
      <c r="A1326" s="90" t="s">
        <v>330</v>
      </c>
      <c r="B1326" s="89" t="s">
        <v>3683</v>
      </c>
      <c r="C1326" s="102" t="s">
        <v>1119</v>
      </c>
    </row>
    <row r="1327" spans="1:3" ht="15">
      <c r="A1327" s="90" t="s">
        <v>330</v>
      </c>
      <c r="B1327" s="89" t="s">
        <v>2721</v>
      </c>
      <c r="C1327" s="102" t="s">
        <v>1119</v>
      </c>
    </row>
    <row r="1328" spans="1:3" ht="15">
      <c r="A1328" s="90" t="s">
        <v>330</v>
      </c>
      <c r="B1328" s="89" t="s">
        <v>3684</v>
      </c>
      <c r="C1328" s="102" t="s">
        <v>1119</v>
      </c>
    </row>
    <row r="1329" spans="1:3" ht="15">
      <c r="A1329" s="90" t="s">
        <v>330</v>
      </c>
      <c r="B1329" s="89" t="s">
        <v>2723</v>
      </c>
      <c r="C1329" s="102" t="s">
        <v>1119</v>
      </c>
    </row>
    <row r="1330" spans="1:3" ht="15">
      <c r="A1330" s="90" t="s">
        <v>330</v>
      </c>
      <c r="B1330" s="89" t="s">
        <v>2724</v>
      </c>
      <c r="C1330" s="102" t="s">
        <v>1119</v>
      </c>
    </row>
    <row r="1331" spans="1:3" ht="15">
      <c r="A1331" s="90" t="s">
        <v>330</v>
      </c>
      <c r="B1331" s="89" t="s">
        <v>3685</v>
      </c>
      <c r="C1331" s="102" t="s">
        <v>1119</v>
      </c>
    </row>
    <row r="1332" spans="1:3" ht="15">
      <c r="A1332" s="90" t="s">
        <v>330</v>
      </c>
      <c r="B1332" s="89" t="s">
        <v>3355</v>
      </c>
      <c r="C1332" s="102" t="s">
        <v>1119</v>
      </c>
    </row>
    <row r="1333" spans="1:3" ht="15">
      <c r="A1333" s="90" t="s">
        <v>330</v>
      </c>
      <c r="B1333" s="89" t="s">
        <v>2670</v>
      </c>
      <c r="C1333" s="102" t="s">
        <v>1119</v>
      </c>
    </row>
    <row r="1334" spans="1:3" ht="15">
      <c r="A1334" s="90" t="s">
        <v>330</v>
      </c>
      <c r="B1334" s="89" t="s">
        <v>2671</v>
      </c>
      <c r="C1334" s="102" t="s">
        <v>1119</v>
      </c>
    </row>
    <row r="1335" spans="1:3" ht="15">
      <c r="A1335" s="90" t="s">
        <v>330</v>
      </c>
      <c r="B1335" s="89" t="s">
        <v>2666</v>
      </c>
      <c r="C1335" s="102" t="s">
        <v>1119</v>
      </c>
    </row>
    <row r="1336" spans="1:3" ht="15">
      <c r="A1336" s="90" t="s">
        <v>330</v>
      </c>
      <c r="B1336" s="89" t="s">
        <v>2664</v>
      </c>
      <c r="C1336" s="102" t="s">
        <v>1119</v>
      </c>
    </row>
    <row r="1337" spans="1:3" ht="15">
      <c r="A1337" s="90" t="s">
        <v>330</v>
      </c>
      <c r="B1337" s="89" t="s">
        <v>2667</v>
      </c>
      <c r="C1337" s="102" t="s">
        <v>1119</v>
      </c>
    </row>
    <row r="1338" spans="1:3" ht="15">
      <c r="A1338" s="90" t="s">
        <v>330</v>
      </c>
      <c r="B1338" s="89" t="s">
        <v>2663</v>
      </c>
      <c r="C1338" s="102" t="s">
        <v>1119</v>
      </c>
    </row>
    <row r="1339" spans="1:3" ht="15">
      <c r="A1339" s="90" t="s">
        <v>330</v>
      </c>
      <c r="B1339" s="89" t="s">
        <v>3137</v>
      </c>
      <c r="C1339" s="102" t="s">
        <v>1119</v>
      </c>
    </row>
    <row r="1340" spans="1:3" ht="15">
      <c r="A1340" s="90" t="s">
        <v>330</v>
      </c>
      <c r="B1340" s="89" t="s">
        <v>712</v>
      </c>
      <c r="C1340" s="102" t="s">
        <v>1119</v>
      </c>
    </row>
    <row r="1341" spans="1:3" ht="15">
      <c r="A1341" s="90" t="s">
        <v>330</v>
      </c>
      <c r="B1341" s="89" t="s">
        <v>3356</v>
      </c>
      <c r="C1341" s="102" t="s">
        <v>1119</v>
      </c>
    </row>
    <row r="1342" spans="1:3" ht="15">
      <c r="A1342" s="90" t="s">
        <v>330</v>
      </c>
      <c r="B1342" s="89" t="s">
        <v>2668</v>
      </c>
      <c r="C1342" s="102" t="s">
        <v>1119</v>
      </c>
    </row>
    <row r="1343" spans="1:3" ht="15">
      <c r="A1343" s="90" t="s">
        <v>330</v>
      </c>
      <c r="B1343" s="89" t="s">
        <v>3357</v>
      </c>
      <c r="C1343" s="102" t="s">
        <v>1119</v>
      </c>
    </row>
    <row r="1344" spans="1:3" ht="15">
      <c r="A1344" s="90" t="s">
        <v>330</v>
      </c>
      <c r="B1344" s="89" t="s">
        <v>2672</v>
      </c>
      <c r="C1344" s="102" t="s">
        <v>1119</v>
      </c>
    </row>
    <row r="1345" spans="1:3" ht="15">
      <c r="A1345" s="90" t="s">
        <v>330</v>
      </c>
      <c r="B1345" s="89" t="s">
        <v>2665</v>
      </c>
      <c r="C1345" s="102" t="s">
        <v>1119</v>
      </c>
    </row>
    <row r="1346" spans="1:3" ht="15">
      <c r="A1346" s="90" t="s">
        <v>329</v>
      </c>
      <c r="B1346" s="89" t="s">
        <v>3686</v>
      </c>
      <c r="C1346" s="102" t="s">
        <v>1118</v>
      </c>
    </row>
    <row r="1347" spans="1:3" ht="15">
      <c r="A1347" s="90" t="s">
        <v>329</v>
      </c>
      <c r="B1347" s="89" t="s">
        <v>3245</v>
      </c>
      <c r="C1347" s="102" t="s">
        <v>1118</v>
      </c>
    </row>
    <row r="1348" spans="1:3" ht="15">
      <c r="A1348" s="90" t="s">
        <v>329</v>
      </c>
      <c r="B1348" s="89" t="s">
        <v>478</v>
      </c>
      <c r="C1348" s="102" t="s">
        <v>1118</v>
      </c>
    </row>
    <row r="1349" spans="1:3" ht="15">
      <c r="A1349" s="90" t="s">
        <v>329</v>
      </c>
      <c r="B1349" s="89" t="s">
        <v>3246</v>
      </c>
      <c r="C1349" s="102" t="s">
        <v>1118</v>
      </c>
    </row>
    <row r="1350" spans="1:3" ht="15">
      <c r="A1350" s="90" t="s">
        <v>329</v>
      </c>
      <c r="B1350" s="89" t="s">
        <v>3247</v>
      </c>
      <c r="C1350" s="102" t="s">
        <v>1118</v>
      </c>
    </row>
    <row r="1351" spans="1:3" ht="15">
      <c r="A1351" s="90" t="s">
        <v>329</v>
      </c>
      <c r="B1351" s="89" t="s">
        <v>3607</v>
      </c>
      <c r="C1351" s="102" t="s">
        <v>1118</v>
      </c>
    </row>
    <row r="1352" spans="1:3" ht="15">
      <c r="A1352" s="90" t="s">
        <v>329</v>
      </c>
      <c r="B1352" s="89" t="s">
        <v>3687</v>
      </c>
      <c r="C1352" s="102" t="s">
        <v>1118</v>
      </c>
    </row>
    <row r="1353" spans="1:3" ht="15">
      <c r="A1353" s="90" t="s">
        <v>329</v>
      </c>
      <c r="B1353" s="89" t="s">
        <v>3141</v>
      </c>
      <c r="C1353" s="102" t="s">
        <v>1118</v>
      </c>
    </row>
    <row r="1354" spans="1:3" ht="15">
      <c r="A1354" s="90" t="s">
        <v>329</v>
      </c>
      <c r="B1354" s="89" t="s">
        <v>3688</v>
      </c>
      <c r="C1354" s="102" t="s">
        <v>1118</v>
      </c>
    </row>
    <row r="1355" spans="1:3" ht="15">
      <c r="A1355" s="90" t="s">
        <v>329</v>
      </c>
      <c r="B1355" s="89" t="s">
        <v>3334</v>
      </c>
      <c r="C1355" s="102" t="s">
        <v>1118</v>
      </c>
    </row>
    <row r="1356" spans="1:3" ht="15">
      <c r="A1356" s="90" t="s">
        <v>329</v>
      </c>
      <c r="B1356" s="89" t="s">
        <v>3239</v>
      </c>
      <c r="C1356" s="102" t="s">
        <v>1118</v>
      </c>
    </row>
    <row r="1357" spans="1:3" ht="15">
      <c r="A1357" s="90" t="s">
        <v>329</v>
      </c>
      <c r="B1357" s="89" t="s">
        <v>3689</v>
      </c>
      <c r="C1357" s="102" t="s">
        <v>1118</v>
      </c>
    </row>
    <row r="1358" spans="1:3" ht="15">
      <c r="A1358" s="90" t="s">
        <v>329</v>
      </c>
      <c r="B1358" s="89" t="s">
        <v>3690</v>
      </c>
      <c r="C1358" s="102" t="s">
        <v>1118</v>
      </c>
    </row>
    <row r="1359" spans="1:3" ht="15">
      <c r="A1359" s="90" t="s">
        <v>329</v>
      </c>
      <c r="B1359" s="89" t="s">
        <v>3691</v>
      </c>
      <c r="C1359" s="102" t="s">
        <v>1118</v>
      </c>
    </row>
    <row r="1360" spans="1:3" ht="15">
      <c r="A1360" s="90" t="s">
        <v>329</v>
      </c>
      <c r="B1360" s="89" t="s">
        <v>2707</v>
      </c>
      <c r="C1360" s="102" t="s">
        <v>1118</v>
      </c>
    </row>
    <row r="1361" spans="1:3" ht="15">
      <c r="A1361" s="90" t="s">
        <v>329</v>
      </c>
      <c r="B1361" s="89" t="s">
        <v>3692</v>
      </c>
      <c r="C1361" s="102" t="s">
        <v>1118</v>
      </c>
    </row>
    <row r="1362" spans="1:3" ht="15">
      <c r="A1362" s="90" t="s">
        <v>329</v>
      </c>
      <c r="B1362" s="89" t="s">
        <v>2753</v>
      </c>
      <c r="C1362" s="102" t="s">
        <v>1118</v>
      </c>
    </row>
    <row r="1363" spans="1:3" ht="15">
      <c r="A1363" s="90" t="s">
        <v>329</v>
      </c>
      <c r="B1363" s="89" t="s">
        <v>3693</v>
      </c>
      <c r="C1363" s="102" t="s">
        <v>1118</v>
      </c>
    </row>
    <row r="1364" spans="1:3" ht="15">
      <c r="A1364" s="90" t="s">
        <v>329</v>
      </c>
      <c r="B1364" s="89" t="s">
        <v>3165</v>
      </c>
      <c r="C1364" s="102" t="s">
        <v>1118</v>
      </c>
    </row>
    <row r="1365" spans="1:3" ht="15">
      <c r="A1365" s="90" t="s">
        <v>329</v>
      </c>
      <c r="B1365" s="89" t="s">
        <v>712</v>
      </c>
      <c r="C1365" s="102" t="s">
        <v>1118</v>
      </c>
    </row>
    <row r="1366" spans="1:3" ht="15">
      <c r="A1366" s="90" t="s">
        <v>329</v>
      </c>
      <c r="B1366" s="89" t="s">
        <v>2986</v>
      </c>
      <c r="C1366" s="102" t="s">
        <v>1118</v>
      </c>
    </row>
    <row r="1367" spans="1:3" ht="15">
      <c r="A1367" s="90" t="s">
        <v>329</v>
      </c>
      <c r="B1367" s="89" t="s">
        <v>3303</v>
      </c>
      <c r="C1367" s="102" t="s">
        <v>1118</v>
      </c>
    </row>
    <row r="1368" spans="1:3" ht="15">
      <c r="A1368" s="90" t="s">
        <v>329</v>
      </c>
      <c r="B1368" s="89" t="s">
        <v>2681</v>
      </c>
      <c r="C1368" s="102" t="s">
        <v>1118</v>
      </c>
    </row>
    <row r="1369" spans="1:3" ht="15">
      <c r="A1369" s="90" t="s">
        <v>329</v>
      </c>
      <c r="B1369" s="89" t="s">
        <v>3275</v>
      </c>
      <c r="C1369" s="102" t="s">
        <v>1118</v>
      </c>
    </row>
    <row r="1370" spans="1:3" ht="15">
      <c r="A1370" s="90" t="s">
        <v>329</v>
      </c>
      <c r="B1370" s="89" t="s">
        <v>3694</v>
      </c>
      <c r="C1370" s="102" t="s">
        <v>1118</v>
      </c>
    </row>
    <row r="1371" spans="1:3" ht="15">
      <c r="A1371" s="90" t="s">
        <v>329</v>
      </c>
      <c r="B1371" s="89" t="s">
        <v>3695</v>
      </c>
      <c r="C1371" s="102" t="s">
        <v>1118</v>
      </c>
    </row>
    <row r="1372" spans="1:3" ht="15">
      <c r="A1372" s="90" t="s">
        <v>329</v>
      </c>
      <c r="B1372" s="89" t="s">
        <v>3696</v>
      </c>
      <c r="C1372" s="102" t="s">
        <v>1118</v>
      </c>
    </row>
    <row r="1373" spans="1:3" ht="15">
      <c r="A1373" s="90" t="s">
        <v>329</v>
      </c>
      <c r="B1373" s="89" t="s">
        <v>3173</v>
      </c>
      <c r="C1373" s="102" t="s">
        <v>1118</v>
      </c>
    </row>
    <row r="1374" spans="1:3" ht="15">
      <c r="A1374" s="90" t="s">
        <v>329</v>
      </c>
      <c r="B1374" s="89" t="s">
        <v>3697</v>
      </c>
      <c r="C1374" s="102" t="s">
        <v>1118</v>
      </c>
    </row>
    <row r="1375" spans="1:3" ht="15">
      <c r="A1375" s="90" t="s">
        <v>329</v>
      </c>
      <c r="B1375" s="89" t="s">
        <v>3698</v>
      </c>
      <c r="C1375" s="102" t="s">
        <v>1118</v>
      </c>
    </row>
    <row r="1376" spans="1:3" ht="15">
      <c r="A1376" s="90" t="s">
        <v>329</v>
      </c>
      <c r="B1376" s="89" t="s">
        <v>2842</v>
      </c>
      <c r="C1376" s="102" t="s">
        <v>1118</v>
      </c>
    </row>
    <row r="1377" spans="1:3" ht="15">
      <c r="A1377" s="90" t="s">
        <v>329</v>
      </c>
      <c r="B1377" s="89" t="s">
        <v>3495</v>
      </c>
      <c r="C1377" s="102" t="s">
        <v>1118</v>
      </c>
    </row>
    <row r="1378" spans="1:3" ht="15">
      <c r="A1378" s="90" t="s">
        <v>329</v>
      </c>
      <c r="B1378" s="89" t="s">
        <v>3192</v>
      </c>
      <c r="C1378" s="102" t="s">
        <v>1118</v>
      </c>
    </row>
    <row r="1379" spans="1:3" ht="15">
      <c r="A1379" s="90" t="s">
        <v>329</v>
      </c>
      <c r="B1379" s="89" t="s">
        <v>3309</v>
      </c>
      <c r="C1379" s="102" t="s">
        <v>1118</v>
      </c>
    </row>
    <row r="1380" spans="1:3" ht="15">
      <c r="A1380" s="90" t="s">
        <v>329</v>
      </c>
      <c r="B1380" s="89" t="s">
        <v>3699</v>
      </c>
      <c r="C1380" s="102" t="s">
        <v>1118</v>
      </c>
    </row>
    <row r="1381" spans="1:3" ht="15">
      <c r="A1381" s="90" t="s">
        <v>328</v>
      </c>
      <c r="B1381" s="89" t="s">
        <v>327</v>
      </c>
      <c r="C1381" s="102" t="s">
        <v>1117</v>
      </c>
    </row>
    <row r="1382" spans="1:3" ht="15">
      <c r="A1382" s="90" t="s">
        <v>328</v>
      </c>
      <c r="B1382" s="89" t="s">
        <v>461</v>
      </c>
      <c r="C1382" s="102" t="s">
        <v>1117</v>
      </c>
    </row>
    <row r="1383" spans="1:3" ht="15">
      <c r="A1383" s="90" t="s">
        <v>328</v>
      </c>
      <c r="B1383" s="89" t="s">
        <v>65</v>
      </c>
      <c r="C1383" s="102" t="s">
        <v>1117</v>
      </c>
    </row>
    <row r="1384" spans="1:3" ht="15">
      <c r="A1384" s="90" t="s">
        <v>328</v>
      </c>
      <c r="B1384" s="89" t="s">
        <v>3700</v>
      </c>
      <c r="C1384" s="102" t="s">
        <v>1117</v>
      </c>
    </row>
    <row r="1385" spans="1:3" ht="15">
      <c r="A1385" s="90" t="s">
        <v>328</v>
      </c>
      <c r="B1385" s="89" t="s">
        <v>712</v>
      </c>
      <c r="C1385" s="102" t="s">
        <v>1117</v>
      </c>
    </row>
    <row r="1386" spans="1:3" ht="15">
      <c r="A1386" s="90" t="s">
        <v>328</v>
      </c>
      <c r="B1386" s="89" t="s">
        <v>3141</v>
      </c>
      <c r="C1386" s="102" t="s">
        <v>1117</v>
      </c>
    </row>
    <row r="1387" spans="1:3" ht="15">
      <c r="A1387" s="90" t="s">
        <v>328</v>
      </c>
      <c r="B1387" s="89" t="s">
        <v>2707</v>
      </c>
      <c r="C1387" s="102" t="s">
        <v>1117</v>
      </c>
    </row>
    <row r="1388" spans="1:3" ht="15">
      <c r="A1388" s="90" t="s">
        <v>328</v>
      </c>
      <c r="B1388" s="89" t="s">
        <v>2988</v>
      </c>
      <c r="C1388" s="102" t="s">
        <v>1117</v>
      </c>
    </row>
    <row r="1389" spans="1:3" ht="15">
      <c r="A1389" s="90" t="s">
        <v>328</v>
      </c>
      <c r="B1389" s="89" t="s">
        <v>3137</v>
      </c>
      <c r="C1389" s="102" t="s">
        <v>1117</v>
      </c>
    </row>
    <row r="1390" spans="1:3" ht="15">
      <c r="A1390" s="90" t="s">
        <v>328</v>
      </c>
      <c r="B1390" s="89" t="s">
        <v>3155</v>
      </c>
      <c r="C1390" s="102" t="s">
        <v>1117</v>
      </c>
    </row>
    <row r="1391" spans="1:3" ht="15">
      <c r="A1391" s="90" t="s">
        <v>328</v>
      </c>
      <c r="B1391" s="89" t="s">
        <v>3309</v>
      </c>
      <c r="C1391" s="102" t="s">
        <v>1117</v>
      </c>
    </row>
    <row r="1392" spans="1:3" ht="15">
      <c r="A1392" s="90" t="s">
        <v>328</v>
      </c>
      <c r="B1392" s="89" t="s">
        <v>3701</v>
      </c>
      <c r="C1392" s="102" t="s">
        <v>1117</v>
      </c>
    </row>
    <row r="1393" spans="1:3" ht="15">
      <c r="A1393" s="90" t="s">
        <v>327</v>
      </c>
      <c r="B1393" s="89" t="s">
        <v>461</v>
      </c>
      <c r="C1393" s="102" t="s">
        <v>1116</v>
      </c>
    </row>
    <row r="1394" spans="1:3" ht="15">
      <c r="A1394" s="90" t="s">
        <v>327</v>
      </c>
      <c r="B1394" s="89" t="s">
        <v>3702</v>
      </c>
      <c r="C1394" s="102" t="s">
        <v>1116</v>
      </c>
    </row>
    <row r="1395" spans="1:3" ht="15">
      <c r="A1395" s="90" t="s">
        <v>327</v>
      </c>
      <c r="B1395" s="89" t="s">
        <v>3703</v>
      </c>
      <c r="C1395" s="102" t="s">
        <v>1116</v>
      </c>
    </row>
    <row r="1396" spans="1:3" ht="15">
      <c r="A1396" s="90" t="s">
        <v>327</v>
      </c>
      <c r="B1396" s="89" t="s">
        <v>3704</v>
      </c>
      <c r="C1396" s="102" t="s">
        <v>1116</v>
      </c>
    </row>
    <row r="1397" spans="1:3" ht="15">
      <c r="A1397" s="90" t="s">
        <v>327</v>
      </c>
      <c r="B1397" s="89" t="s">
        <v>3705</v>
      </c>
      <c r="C1397" s="102" t="s">
        <v>1116</v>
      </c>
    </row>
    <row r="1398" spans="1:3" ht="15">
      <c r="A1398" s="90" t="s">
        <v>327</v>
      </c>
      <c r="B1398" s="89" t="s">
        <v>3706</v>
      </c>
      <c r="C1398" s="102" t="s">
        <v>1116</v>
      </c>
    </row>
    <row r="1399" spans="1:3" ht="15">
      <c r="A1399" s="90" t="s">
        <v>327</v>
      </c>
      <c r="B1399" s="89" t="s">
        <v>3149</v>
      </c>
      <c r="C1399" s="102" t="s">
        <v>1116</v>
      </c>
    </row>
    <row r="1400" spans="1:3" ht="15">
      <c r="A1400" s="90" t="s">
        <v>327</v>
      </c>
      <c r="B1400" s="89" t="s">
        <v>3707</v>
      </c>
      <c r="C1400" s="102" t="s">
        <v>1116</v>
      </c>
    </row>
    <row r="1401" spans="1:3" ht="15">
      <c r="A1401" s="90" t="s">
        <v>327</v>
      </c>
      <c r="B1401" s="89" t="s">
        <v>3708</v>
      </c>
      <c r="C1401" s="102" t="s">
        <v>1116</v>
      </c>
    </row>
    <row r="1402" spans="1:3" ht="15">
      <c r="A1402" s="90" t="s">
        <v>327</v>
      </c>
      <c r="B1402" s="89" t="s">
        <v>3709</v>
      </c>
      <c r="C1402" s="102" t="s">
        <v>1116</v>
      </c>
    </row>
    <row r="1403" spans="1:3" ht="15">
      <c r="A1403" s="90" t="s">
        <v>327</v>
      </c>
      <c r="B1403" s="89" t="s">
        <v>3204</v>
      </c>
      <c r="C1403" s="102" t="s">
        <v>1116</v>
      </c>
    </row>
    <row r="1404" spans="1:3" ht="15">
      <c r="A1404" s="90" t="s">
        <v>327</v>
      </c>
      <c r="B1404" s="89" t="s">
        <v>3710</v>
      </c>
      <c r="C1404" s="102" t="s">
        <v>1116</v>
      </c>
    </row>
    <row r="1405" spans="1:3" ht="15">
      <c r="A1405" s="90" t="s">
        <v>327</v>
      </c>
      <c r="B1405" s="89" t="s">
        <v>3711</v>
      </c>
      <c r="C1405" s="102" t="s">
        <v>1116</v>
      </c>
    </row>
    <row r="1406" spans="1:3" ht="15">
      <c r="A1406" s="90" t="s">
        <v>327</v>
      </c>
      <c r="B1406" s="89" t="s">
        <v>3137</v>
      </c>
      <c r="C1406" s="102" t="s">
        <v>1116</v>
      </c>
    </row>
    <row r="1407" spans="1:3" ht="15">
      <c r="A1407" s="90" t="s">
        <v>327</v>
      </c>
      <c r="B1407" s="89" t="s">
        <v>3304</v>
      </c>
      <c r="C1407" s="102" t="s">
        <v>1116</v>
      </c>
    </row>
    <row r="1408" spans="1:3" ht="15">
      <c r="A1408" s="90" t="s">
        <v>327</v>
      </c>
      <c r="B1408" s="89" t="s">
        <v>3712</v>
      </c>
      <c r="C1408" s="102" t="s">
        <v>1116</v>
      </c>
    </row>
    <row r="1409" spans="1:3" ht="15">
      <c r="A1409" s="90" t="s">
        <v>327</v>
      </c>
      <c r="B1409" s="89" t="s">
        <v>3155</v>
      </c>
      <c r="C1409" s="102" t="s">
        <v>1116</v>
      </c>
    </row>
    <row r="1410" spans="1:3" ht="15">
      <c r="A1410" s="90" t="s">
        <v>327</v>
      </c>
      <c r="B1410" s="89" t="s">
        <v>3713</v>
      </c>
      <c r="C1410" s="102" t="s">
        <v>1116</v>
      </c>
    </row>
    <row r="1411" spans="1:3" ht="15">
      <c r="A1411" s="90" t="s">
        <v>327</v>
      </c>
      <c r="B1411" s="89" t="s">
        <v>3714</v>
      </c>
      <c r="C1411" s="102" t="s">
        <v>1116</v>
      </c>
    </row>
    <row r="1412" spans="1:3" ht="15">
      <c r="A1412" s="90" t="s">
        <v>327</v>
      </c>
      <c r="B1412" s="89" t="s">
        <v>3248</v>
      </c>
      <c r="C1412" s="102" t="s">
        <v>1116</v>
      </c>
    </row>
    <row r="1413" spans="1:3" ht="15">
      <c r="A1413" s="90" t="s">
        <v>327</v>
      </c>
      <c r="B1413" s="89" t="s">
        <v>3192</v>
      </c>
      <c r="C1413" s="102" t="s">
        <v>1116</v>
      </c>
    </row>
    <row r="1414" spans="1:3" ht="15">
      <c r="A1414" s="90" t="s">
        <v>327</v>
      </c>
      <c r="B1414" s="89" t="s">
        <v>3145</v>
      </c>
      <c r="C1414" s="102" t="s">
        <v>1116</v>
      </c>
    </row>
    <row r="1415" spans="1:3" ht="15">
      <c r="A1415" s="90" t="s">
        <v>327</v>
      </c>
      <c r="B1415" s="89" t="s">
        <v>3715</v>
      </c>
      <c r="C1415" s="102" t="s">
        <v>1116</v>
      </c>
    </row>
    <row r="1416" spans="1:3" ht="15">
      <c r="A1416" s="90" t="s">
        <v>327</v>
      </c>
      <c r="B1416" s="89" t="s">
        <v>3716</v>
      </c>
      <c r="C1416" s="102" t="s">
        <v>1116</v>
      </c>
    </row>
    <row r="1417" spans="1:3" ht="15">
      <c r="A1417" s="90" t="s">
        <v>327</v>
      </c>
      <c r="B1417" s="89" t="s">
        <v>3717</v>
      </c>
      <c r="C1417" s="102" t="s">
        <v>1116</v>
      </c>
    </row>
    <row r="1418" spans="1:3" ht="15">
      <c r="A1418" s="90" t="s">
        <v>327</v>
      </c>
      <c r="B1418" s="89" t="s">
        <v>3165</v>
      </c>
      <c r="C1418" s="102" t="s">
        <v>1116</v>
      </c>
    </row>
    <row r="1419" spans="1:3" ht="15">
      <c r="A1419" s="90" t="s">
        <v>327</v>
      </c>
      <c r="B1419" s="89" t="s">
        <v>3718</v>
      </c>
      <c r="C1419" s="102" t="s">
        <v>1116</v>
      </c>
    </row>
    <row r="1420" spans="1:3" ht="15">
      <c r="A1420" s="90" t="s">
        <v>327</v>
      </c>
      <c r="B1420" s="89" t="s">
        <v>3719</v>
      </c>
      <c r="C1420" s="102" t="s">
        <v>1116</v>
      </c>
    </row>
    <row r="1421" spans="1:3" ht="15">
      <c r="A1421" s="90" t="s">
        <v>327</v>
      </c>
      <c r="B1421" s="89" t="s">
        <v>3720</v>
      </c>
      <c r="C1421" s="102" t="s">
        <v>1116</v>
      </c>
    </row>
    <row r="1422" spans="1:3" ht="15">
      <c r="A1422" s="90" t="s">
        <v>327</v>
      </c>
      <c r="B1422" s="89" t="s">
        <v>3255</v>
      </c>
      <c r="C1422" s="102" t="s">
        <v>1116</v>
      </c>
    </row>
    <row r="1423" spans="1:3" ht="15">
      <c r="A1423" s="90" t="s">
        <v>327</v>
      </c>
      <c r="B1423" s="89" t="s">
        <v>2786</v>
      </c>
      <c r="C1423" s="102" t="s">
        <v>1116</v>
      </c>
    </row>
    <row r="1424" spans="1:3" ht="15">
      <c r="A1424" s="90" t="s">
        <v>327</v>
      </c>
      <c r="B1424" s="89" t="s">
        <v>3721</v>
      </c>
      <c r="C1424" s="102" t="s">
        <v>1116</v>
      </c>
    </row>
    <row r="1425" spans="1:3" ht="15">
      <c r="A1425" s="90" t="s">
        <v>327</v>
      </c>
      <c r="B1425" s="89" t="s">
        <v>3722</v>
      </c>
      <c r="C1425" s="102" t="s">
        <v>1116</v>
      </c>
    </row>
    <row r="1426" spans="1:3" ht="15">
      <c r="A1426" s="90" t="s">
        <v>327</v>
      </c>
      <c r="B1426" s="89" t="s">
        <v>3723</v>
      </c>
      <c r="C1426" s="102" t="s">
        <v>1116</v>
      </c>
    </row>
    <row r="1427" spans="1:3" ht="15">
      <c r="A1427" s="90" t="s">
        <v>327</v>
      </c>
      <c r="B1427" s="89" t="s">
        <v>2869</v>
      </c>
      <c r="C1427" s="102" t="s">
        <v>1116</v>
      </c>
    </row>
    <row r="1428" spans="1:3" ht="15">
      <c r="A1428" s="90" t="s">
        <v>327</v>
      </c>
      <c r="B1428" s="89" t="s">
        <v>3214</v>
      </c>
      <c r="C1428" s="102" t="s">
        <v>1116</v>
      </c>
    </row>
    <row r="1429" spans="1:3" ht="15">
      <c r="A1429" s="90" t="s">
        <v>326</v>
      </c>
      <c r="B1429" s="89" t="s">
        <v>3307</v>
      </c>
      <c r="C1429" s="102" t="s">
        <v>1115</v>
      </c>
    </row>
    <row r="1430" spans="1:3" ht="15">
      <c r="A1430" s="90" t="s">
        <v>326</v>
      </c>
      <c r="B1430" s="89" t="s">
        <v>3152</v>
      </c>
      <c r="C1430" s="102" t="s">
        <v>1115</v>
      </c>
    </row>
    <row r="1431" spans="1:3" ht="15">
      <c r="A1431" s="90" t="s">
        <v>326</v>
      </c>
      <c r="B1431" s="89" t="s">
        <v>3141</v>
      </c>
      <c r="C1431" s="102" t="s">
        <v>1115</v>
      </c>
    </row>
    <row r="1432" spans="1:3" ht="15">
      <c r="A1432" s="90" t="s">
        <v>326</v>
      </c>
      <c r="B1432" s="89" t="s">
        <v>2678</v>
      </c>
      <c r="C1432" s="102" t="s">
        <v>1115</v>
      </c>
    </row>
    <row r="1433" spans="1:3" ht="15">
      <c r="A1433" s="90" t="s">
        <v>326</v>
      </c>
      <c r="B1433" s="89" t="s">
        <v>2676</v>
      </c>
      <c r="C1433" s="102" t="s">
        <v>1115</v>
      </c>
    </row>
    <row r="1434" spans="1:3" ht="15">
      <c r="A1434" s="90" t="s">
        <v>326</v>
      </c>
      <c r="B1434" s="89" t="s">
        <v>3308</v>
      </c>
      <c r="C1434" s="102" t="s">
        <v>1115</v>
      </c>
    </row>
    <row r="1435" spans="1:3" ht="15">
      <c r="A1435" s="90" t="s">
        <v>326</v>
      </c>
      <c r="B1435" s="89" t="s">
        <v>3205</v>
      </c>
      <c r="C1435" s="102" t="s">
        <v>1115</v>
      </c>
    </row>
    <row r="1436" spans="1:3" ht="15">
      <c r="A1436" s="90" t="s">
        <v>326</v>
      </c>
      <c r="B1436" s="89" t="s">
        <v>3155</v>
      </c>
      <c r="C1436" s="102" t="s">
        <v>1115</v>
      </c>
    </row>
    <row r="1437" spans="1:3" ht="15">
      <c r="A1437" s="90" t="s">
        <v>326</v>
      </c>
      <c r="B1437" s="89" t="s">
        <v>3309</v>
      </c>
      <c r="C1437" s="102" t="s">
        <v>1115</v>
      </c>
    </row>
    <row r="1438" spans="1:3" ht="15">
      <c r="A1438" s="90" t="s">
        <v>326</v>
      </c>
      <c r="B1438" s="89" t="s">
        <v>2679</v>
      </c>
      <c r="C1438" s="102" t="s">
        <v>1115</v>
      </c>
    </row>
    <row r="1439" spans="1:3" ht="15">
      <c r="A1439" s="90" t="s">
        <v>326</v>
      </c>
      <c r="B1439" s="89" t="s">
        <v>712</v>
      </c>
      <c r="C1439" s="102" t="s">
        <v>1115</v>
      </c>
    </row>
    <row r="1440" spans="1:3" ht="15">
      <c r="A1440" s="90" t="s">
        <v>326</v>
      </c>
      <c r="B1440" s="89" t="s">
        <v>431</v>
      </c>
      <c r="C1440" s="102" t="s">
        <v>1115</v>
      </c>
    </row>
    <row r="1441" spans="1:3" ht="15">
      <c r="A1441" s="90" t="s">
        <v>326</v>
      </c>
      <c r="B1441" s="89" t="s">
        <v>3310</v>
      </c>
      <c r="C1441" s="102" t="s">
        <v>1115</v>
      </c>
    </row>
    <row r="1442" spans="1:3" ht="15">
      <c r="A1442" s="90" t="s">
        <v>325</v>
      </c>
      <c r="B1442" s="89" t="s">
        <v>3355</v>
      </c>
      <c r="C1442" s="102" t="s">
        <v>1114</v>
      </c>
    </row>
    <row r="1443" spans="1:3" ht="15">
      <c r="A1443" s="90" t="s">
        <v>325</v>
      </c>
      <c r="B1443" s="89" t="s">
        <v>2670</v>
      </c>
      <c r="C1443" s="102" t="s">
        <v>1114</v>
      </c>
    </row>
    <row r="1444" spans="1:3" ht="15">
      <c r="A1444" s="90" t="s">
        <v>325</v>
      </c>
      <c r="B1444" s="89" t="s">
        <v>2671</v>
      </c>
      <c r="C1444" s="102" t="s">
        <v>1114</v>
      </c>
    </row>
    <row r="1445" spans="1:3" ht="15">
      <c r="A1445" s="90" t="s">
        <v>325</v>
      </c>
      <c r="B1445" s="89" t="s">
        <v>2666</v>
      </c>
      <c r="C1445" s="102" t="s">
        <v>1114</v>
      </c>
    </row>
    <row r="1446" spans="1:3" ht="15">
      <c r="A1446" s="90" t="s">
        <v>325</v>
      </c>
      <c r="B1446" s="89" t="s">
        <v>2664</v>
      </c>
      <c r="C1446" s="102" t="s">
        <v>1114</v>
      </c>
    </row>
    <row r="1447" spans="1:3" ht="15">
      <c r="A1447" s="90" t="s">
        <v>325</v>
      </c>
      <c r="B1447" s="89" t="s">
        <v>2667</v>
      </c>
      <c r="C1447" s="102" t="s">
        <v>1114</v>
      </c>
    </row>
    <row r="1448" spans="1:3" ht="15">
      <c r="A1448" s="90" t="s">
        <v>325</v>
      </c>
      <c r="B1448" s="89" t="s">
        <v>2663</v>
      </c>
      <c r="C1448" s="102" t="s">
        <v>1114</v>
      </c>
    </row>
    <row r="1449" spans="1:3" ht="15">
      <c r="A1449" s="90" t="s">
        <v>325</v>
      </c>
      <c r="B1449" s="89" t="s">
        <v>3137</v>
      </c>
      <c r="C1449" s="102" t="s">
        <v>1114</v>
      </c>
    </row>
    <row r="1450" spans="1:3" ht="15">
      <c r="A1450" s="90" t="s">
        <v>325</v>
      </c>
      <c r="B1450" s="89" t="s">
        <v>712</v>
      </c>
      <c r="C1450" s="102" t="s">
        <v>1114</v>
      </c>
    </row>
    <row r="1451" spans="1:3" ht="15">
      <c r="A1451" s="90" t="s">
        <v>325</v>
      </c>
      <c r="B1451" s="89" t="s">
        <v>3356</v>
      </c>
      <c r="C1451" s="102" t="s">
        <v>1114</v>
      </c>
    </row>
    <row r="1452" spans="1:3" ht="15">
      <c r="A1452" s="90" t="s">
        <v>325</v>
      </c>
      <c r="B1452" s="89" t="s">
        <v>2668</v>
      </c>
      <c r="C1452" s="102" t="s">
        <v>1114</v>
      </c>
    </row>
    <row r="1453" spans="1:3" ht="15">
      <c r="A1453" s="90" t="s">
        <v>325</v>
      </c>
      <c r="B1453" s="89" t="s">
        <v>3357</v>
      </c>
      <c r="C1453" s="102" t="s">
        <v>1114</v>
      </c>
    </row>
    <row r="1454" spans="1:3" ht="15">
      <c r="A1454" s="90" t="s">
        <v>325</v>
      </c>
      <c r="B1454" s="89" t="s">
        <v>2672</v>
      </c>
      <c r="C1454" s="102" t="s">
        <v>1114</v>
      </c>
    </row>
    <row r="1455" spans="1:3" ht="15">
      <c r="A1455" s="90" t="s">
        <v>325</v>
      </c>
      <c r="B1455" s="89" t="s">
        <v>2665</v>
      </c>
      <c r="C1455" s="102" t="s">
        <v>1114</v>
      </c>
    </row>
    <row r="1456" spans="1:3" ht="15">
      <c r="A1456" s="90" t="s">
        <v>324</v>
      </c>
      <c r="B1456" s="89" t="s">
        <v>3629</v>
      </c>
      <c r="C1456" s="102" t="s">
        <v>1113</v>
      </c>
    </row>
    <row r="1457" spans="1:3" ht="15">
      <c r="A1457" s="90" t="s">
        <v>324</v>
      </c>
      <c r="B1457" s="89" t="s">
        <v>2870</v>
      </c>
      <c r="C1457" s="102" t="s">
        <v>1113</v>
      </c>
    </row>
    <row r="1458" spans="1:3" ht="15">
      <c r="A1458" s="90" t="s">
        <v>324</v>
      </c>
      <c r="B1458" s="89" t="s">
        <v>2989</v>
      </c>
      <c r="C1458" s="102" t="s">
        <v>1113</v>
      </c>
    </row>
    <row r="1459" spans="1:3" ht="15">
      <c r="A1459" s="90" t="s">
        <v>324</v>
      </c>
      <c r="B1459" s="89" t="s">
        <v>3356</v>
      </c>
      <c r="C1459" s="102" t="s">
        <v>1113</v>
      </c>
    </row>
    <row r="1460" spans="1:3" ht="15">
      <c r="A1460" s="90" t="s">
        <v>324</v>
      </c>
      <c r="B1460" s="89" t="s">
        <v>2990</v>
      </c>
      <c r="C1460" s="102" t="s">
        <v>1113</v>
      </c>
    </row>
    <row r="1461" spans="1:3" ht="15">
      <c r="A1461" s="90" t="s">
        <v>324</v>
      </c>
      <c r="B1461" s="89" t="s">
        <v>2871</v>
      </c>
      <c r="C1461" s="102" t="s">
        <v>1113</v>
      </c>
    </row>
    <row r="1462" spans="1:3" ht="15">
      <c r="A1462" s="90" t="s">
        <v>324</v>
      </c>
      <c r="B1462" s="89" t="s">
        <v>2991</v>
      </c>
      <c r="C1462" s="102" t="s">
        <v>1113</v>
      </c>
    </row>
    <row r="1463" spans="1:3" ht="15">
      <c r="A1463" s="90" t="s">
        <v>324</v>
      </c>
      <c r="B1463" s="89" t="s">
        <v>2730</v>
      </c>
      <c r="C1463" s="102" t="s">
        <v>1113</v>
      </c>
    </row>
    <row r="1464" spans="1:3" ht="15">
      <c r="A1464" s="90" t="s">
        <v>324</v>
      </c>
      <c r="B1464" s="89" t="s">
        <v>3724</v>
      </c>
      <c r="C1464" s="102" t="s">
        <v>1113</v>
      </c>
    </row>
    <row r="1465" spans="1:3" ht="15">
      <c r="A1465" s="90" t="s">
        <v>324</v>
      </c>
      <c r="B1465" s="89" t="s">
        <v>3725</v>
      </c>
      <c r="C1465" s="102" t="s">
        <v>1113</v>
      </c>
    </row>
    <row r="1466" spans="1:3" ht="15">
      <c r="A1466" s="90" t="s">
        <v>324</v>
      </c>
      <c r="B1466" s="89" t="s">
        <v>3211</v>
      </c>
      <c r="C1466" s="102" t="s">
        <v>1113</v>
      </c>
    </row>
    <row r="1467" spans="1:3" ht="15">
      <c r="A1467" s="90" t="s">
        <v>324</v>
      </c>
      <c r="B1467" s="89" t="s">
        <v>2992</v>
      </c>
      <c r="C1467" s="102" t="s">
        <v>1113</v>
      </c>
    </row>
    <row r="1468" spans="1:3" ht="15">
      <c r="A1468" s="90" t="s">
        <v>324</v>
      </c>
      <c r="B1468" s="89" t="s">
        <v>3204</v>
      </c>
      <c r="C1468" s="102" t="s">
        <v>1113</v>
      </c>
    </row>
    <row r="1469" spans="1:3" ht="15">
      <c r="A1469" s="90" t="s">
        <v>324</v>
      </c>
      <c r="B1469" s="89" t="s">
        <v>3726</v>
      </c>
      <c r="C1469" s="102" t="s">
        <v>1113</v>
      </c>
    </row>
    <row r="1470" spans="1:3" ht="15">
      <c r="A1470" s="90" t="s">
        <v>324</v>
      </c>
      <c r="B1470" s="89" t="s">
        <v>3727</v>
      </c>
      <c r="C1470" s="102" t="s">
        <v>1113</v>
      </c>
    </row>
    <row r="1471" spans="1:3" ht="15">
      <c r="A1471" s="90" t="s">
        <v>324</v>
      </c>
      <c r="B1471" s="89" t="s">
        <v>2682</v>
      </c>
      <c r="C1471" s="102" t="s">
        <v>1113</v>
      </c>
    </row>
    <row r="1472" spans="1:3" ht="15">
      <c r="A1472" s="90" t="s">
        <v>324</v>
      </c>
      <c r="B1472" s="89" t="s">
        <v>2717</v>
      </c>
      <c r="C1472" s="102" t="s">
        <v>1113</v>
      </c>
    </row>
    <row r="1473" spans="1:3" ht="15">
      <c r="A1473" s="90" t="s">
        <v>324</v>
      </c>
      <c r="B1473" s="89" t="s">
        <v>2994</v>
      </c>
      <c r="C1473" s="102" t="s">
        <v>1113</v>
      </c>
    </row>
    <row r="1474" spans="1:3" ht="15">
      <c r="A1474" s="90" t="s">
        <v>324</v>
      </c>
      <c r="B1474" s="89" t="s">
        <v>3285</v>
      </c>
      <c r="C1474" s="102" t="s">
        <v>1113</v>
      </c>
    </row>
    <row r="1475" spans="1:3" ht="15">
      <c r="A1475" s="90" t="s">
        <v>324</v>
      </c>
      <c r="B1475" s="89" t="s">
        <v>3155</v>
      </c>
      <c r="C1475" s="102" t="s">
        <v>1113</v>
      </c>
    </row>
    <row r="1476" spans="1:3" ht="15">
      <c r="A1476" s="90" t="s">
        <v>324</v>
      </c>
      <c r="B1476" s="89" t="s">
        <v>2995</v>
      </c>
      <c r="C1476" s="102" t="s">
        <v>1113</v>
      </c>
    </row>
    <row r="1477" spans="1:3" ht="15">
      <c r="A1477" s="90" t="s">
        <v>324</v>
      </c>
      <c r="B1477" s="89" t="s">
        <v>2996</v>
      </c>
      <c r="C1477" s="102" t="s">
        <v>1113</v>
      </c>
    </row>
    <row r="1478" spans="1:3" ht="15">
      <c r="A1478" s="90" t="s">
        <v>324</v>
      </c>
      <c r="B1478" s="89" t="s">
        <v>2997</v>
      </c>
      <c r="C1478" s="102" t="s">
        <v>1113</v>
      </c>
    </row>
    <row r="1479" spans="1:3" ht="15">
      <c r="A1479" s="90" t="s">
        <v>324</v>
      </c>
      <c r="B1479" s="89" t="s">
        <v>2835</v>
      </c>
      <c r="C1479" s="102" t="s">
        <v>1113</v>
      </c>
    </row>
    <row r="1480" spans="1:3" ht="15">
      <c r="A1480" s="90" t="s">
        <v>324</v>
      </c>
      <c r="B1480" s="89" t="s">
        <v>3288</v>
      </c>
      <c r="C1480" s="102" t="s">
        <v>1113</v>
      </c>
    </row>
    <row r="1481" spans="1:3" ht="15">
      <c r="A1481" s="90" t="s">
        <v>324</v>
      </c>
      <c r="B1481" s="89" t="s">
        <v>2742</v>
      </c>
      <c r="C1481" s="102" t="s">
        <v>1113</v>
      </c>
    </row>
    <row r="1482" spans="1:3" ht="15">
      <c r="A1482" s="90" t="s">
        <v>324</v>
      </c>
      <c r="B1482" s="89" t="s">
        <v>3728</v>
      </c>
      <c r="C1482" s="102" t="s">
        <v>1113</v>
      </c>
    </row>
    <row r="1483" spans="1:3" ht="15">
      <c r="A1483" s="90" t="s">
        <v>324</v>
      </c>
      <c r="B1483" s="89" t="s">
        <v>3145</v>
      </c>
      <c r="C1483" s="102" t="s">
        <v>1113</v>
      </c>
    </row>
    <row r="1484" spans="1:3" ht="15">
      <c r="A1484" s="90" t="s">
        <v>324</v>
      </c>
      <c r="B1484" s="89" t="s">
        <v>2998</v>
      </c>
      <c r="C1484" s="102" t="s">
        <v>1113</v>
      </c>
    </row>
    <row r="1485" spans="1:3" ht="15">
      <c r="A1485" s="90" t="s">
        <v>323</v>
      </c>
      <c r="B1485" s="89" t="s">
        <v>3629</v>
      </c>
      <c r="C1485" s="102" t="s">
        <v>1112</v>
      </c>
    </row>
    <row r="1486" spans="1:3" ht="15">
      <c r="A1486" s="90" t="s">
        <v>323</v>
      </c>
      <c r="B1486" s="89" t="s">
        <v>2870</v>
      </c>
      <c r="C1486" s="102" t="s">
        <v>1112</v>
      </c>
    </row>
    <row r="1487" spans="1:3" ht="15">
      <c r="A1487" s="90" t="s">
        <v>323</v>
      </c>
      <c r="B1487" s="89" t="s">
        <v>2989</v>
      </c>
      <c r="C1487" s="102" t="s">
        <v>1112</v>
      </c>
    </row>
    <row r="1488" spans="1:3" ht="15">
      <c r="A1488" s="90" t="s">
        <v>323</v>
      </c>
      <c r="B1488" s="89" t="s">
        <v>3356</v>
      </c>
      <c r="C1488" s="102" t="s">
        <v>1112</v>
      </c>
    </row>
    <row r="1489" spans="1:3" ht="15">
      <c r="A1489" s="90" t="s">
        <v>323</v>
      </c>
      <c r="B1489" s="89" t="s">
        <v>2990</v>
      </c>
      <c r="C1489" s="102" t="s">
        <v>1112</v>
      </c>
    </row>
    <row r="1490" spans="1:3" ht="15">
      <c r="A1490" s="90" t="s">
        <v>323</v>
      </c>
      <c r="B1490" s="89" t="s">
        <v>2871</v>
      </c>
      <c r="C1490" s="102" t="s">
        <v>1112</v>
      </c>
    </row>
    <row r="1491" spans="1:3" ht="15">
      <c r="A1491" s="90" t="s">
        <v>323</v>
      </c>
      <c r="B1491" s="89" t="s">
        <v>2991</v>
      </c>
      <c r="C1491" s="102" t="s">
        <v>1112</v>
      </c>
    </row>
    <row r="1492" spans="1:3" ht="15">
      <c r="A1492" s="90" t="s">
        <v>323</v>
      </c>
      <c r="B1492" s="89" t="s">
        <v>2730</v>
      </c>
      <c r="C1492" s="102" t="s">
        <v>1112</v>
      </c>
    </row>
    <row r="1493" spans="1:3" ht="15">
      <c r="A1493" s="90" t="s">
        <v>323</v>
      </c>
      <c r="B1493" s="89" t="s">
        <v>3724</v>
      </c>
      <c r="C1493" s="102" t="s">
        <v>1112</v>
      </c>
    </row>
    <row r="1494" spans="1:3" ht="15">
      <c r="A1494" s="90" t="s">
        <v>323</v>
      </c>
      <c r="B1494" s="89" t="s">
        <v>3725</v>
      </c>
      <c r="C1494" s="102" t="s">
        <v>1112</v>
      </c>
    </row>
    <row r="1495" spans="1:3" ht="15">
      <c r="A1495" s="90" t="s">
        <v>323</v>
      </c>
      <c r="B1495" s="89" t="s">
        <v>3211</v>
      </c>
      <c r="C1495" s="102" t="s">
        <v>1112</v>
      </c>
    </row>
    <row r="1496" spans="1:3" ht="15">
      <c r="A1496" s="90" t="s">
        <v>323</v>
      </c>
      <c r="B1496" s="89" t="s">
        <v>2992</v>
      </c>
      <c r="C1496" s="102" t="s">
        <v>1112</v>
      </c>
    </row>
    <row r="1497" spans="1:3" ht="15">
      <c r="A1497" s="90" t="s">
        <v>323</v>
      </c>
      <c r="B1497" s="89" t="s">
        <v>3204</v>
      </c>
      <c r="C1497" s="102" t="s">
        <v>1112</v>
      </c>
    </row>
    <row r="1498" spans="1:3" ht="15">
      <c r="A1498" s="90" t="s">
        <v>323</v>
      </c>
      <c r="B1498" s="89" t="s">
        <v>3726</v>
      </c>
      <c r="C1498" s="102" t="s">
        <v>1112</v>
      </c>
    </row>
    <row r="1499" spans="1:3" ht="15">
      <c r="A1499" s="90" t="s">
        <v>323</v>
      </c>
      <c r="B1499" s="89" t="s">
        <v>3727</v>
      </c>
      <c r="C1499" s="102" t="s">
        <v>1112</v>
      </c>
    </row>
    <row r="1500" spans="1:3" ht="15">
      <c r="A1500" s="90" t="s">
        <v>323</v>
      </c>
      <c r="B1500" s="89" t="s">
        <v>2682</v>
      </c>
      <c r="C1500" s="102" t="s">
        <v>1112</v>
      </c>
    </row>
    <row r="1501" spans="1:3" ht="15">
      <c r="A1501" s="90" t="s">
        <v>323</v>
      </c>
      <c r="B1501" s="89" t="s">
        <v>2717</v>
      </c>
      <c r="C1501" s="102" t="s">
        <v>1112</v>
      </c>
    </row>
    <row r="1502" spans="1:3" ht="15">
      <c r="A1502" s="90" t="s">
        <v>323</v>
      </c>
      <c r="B1502" s="89" t="s">
        <v>2994</v>
      </c>
      <c r="C1502" s="102" t="s">
        <v>1112</v>
      </c>
    </row>
    <row r="1503" spans="1:3" ht="15">
      <c r="A1503" s="90" t="s">
        <v>323</v>
      </c>
      <c r="B1503" s="89" t="s">
        <v>3285</v>
      </c>
      <c r="C1503" s="102" t="s">
        <v>1112</v>
      </c>
    </row>
    <row r="1504" spans="1:3" ht="15">
      <c r="A1504" s="90" t="s">
        <v>323</v>
      </c>
      <c r="B1504" s="89" t="s">
        <v>3155</v>
      </c>
      <c r="C1504" s="102" t="s">
        <v>1112</v>
      </c>
    </row>
    <row r="1505" spans="1:3" ht="15">
      <c r="A1505" s="90" t="s">
        <v>323</v>
      </c>
      <c r="B1505" s="89" t="s">
        <v>2995</v>
      </c>
      <c r="C1505" s="102" t="s">
        <v>1112</v>
      </c>
    </row>
    <row r="1506" spans="1:3" ht="15">
      <c r="A1506" s="90" t="s">
        <v>323</v>
      </c>
      <c r="B1506" s="89" t="s">
        <v>2996</v>
      </c>
      <c r="C1506" s="102" t="s">
        <v>1112</v>
      </c>
    </row>
    <row r="1507" spans="1:3" ht="15">
      <c r="A1507" s="90" t="s">
        <v>323</v>
      </c>
      <c r="B1507" s="89" t="s">
        <v>2997</v>
      </c>
      <c r="C1507" s="102" t="s">
        <v>1112</v>
      </c>
    </row>
    <row r="1508" spans="1:3" ht="15">
      <c r="A1508" s="90" t="s">
        <v>323</v>
      </c>
      <c r="B1508" s="89" t="s">
        <v>2835</v>
      </c>
      <c r="C1508" s="102" t="s">
        <v>1112</v>
      </c>
    </row>
    <row r="1509" spans="1:3" ht="15">
      <c r="A1509" s="90" t="s">
        <v>323</v>
      </c>
      <c r="B1509" s="89" t="s">
        <v>3288</v>
      </c>
      <c r="C1509" s="102" t="s">
        <v>1112</v>
      </c>
    </row>
    <row r="1510" spans="1:3" ht="15">
      <c r="A1510" s="90" t="s">
        <v>323</v>
      </c>
      <c r="B1510" s="89" t="s">
        <v>2742</v>
      </c>
      <c r="C1510" s="102" t="s">
        <v>1112</v>
      </c>
    </row>
    <row r="1511" spans="1:3" ht="15">
      <c r="A1511" s="90" t="s">
        <v>323</v>
      </c>
      <c r="B1511" s="89" t="s">
        <v>3728</v>
      </c>
      <c r="C1511" s="102" t="s">
        <v>1112</v>
      </c>
    </row>
    <row r="1512" spans="1:3" ht="15">
      <c r="A1512" s="90" t="s">
        <v>323</v>
      </c>
      <c r="B1512" s="89" t="s">
        <v>3145</v>
      </c>
      <c r="C1512" s="102" t="s">
        <v>1112</v>
      </c>
    </row>
    <row r="1513" spans="1:3" ht="15">
      <c r="A1513" s="90" t="s">
        <v>323</v>
      </c>
      <c r="B1513" s="89" t="s">
        <v>2998</v>
      </c>
      <c r="C1513" s="102" t="s">
        <v>1112</v>
      </c>
    </row>
    <row r="1514" spans="1:3" ht="15">
      <c r="A1514" s="90" t="s">
        <v>322</v>
      </c>
      <c r="B1514" s="89" t="s">
        <v>3729</v>
      </c>
      <c r="C1514" s="102" t="s">
        <v>1111</v>
      </c>
    </row>
    <row r="1515" spans="1:3" ht="15">
      <c r="A1515" s="90" t="s">
        <v>322</v>
      </c>
      <c r="B1515" s="89" t="s">
        <v>3245</v>
      </c>
      <c r="C1515" s="102" t="s">
        <v>1111</v>
      </c>
    </row>
    <row r="1516" spans="1:3" ht="15">
      <c r="A1516" s="90" t="s">
        <v>322</v>
      </c>
      <c r="B1516" s="89" t="s">
        <v>3247</v>
      </c>
      <c r="C1516" s="102" t="s">
        <v>1111</v>
      </c>
    </row>
    <row r="1517" spans="1:3" ht="15">
      <c r="A1517" s="90" t="s">
        <v>322</v>
      </c>
      <c r="B1517" s="89" t="s">
        <v>3204</v>
      </c>
      <c r="C1517" s="102" t="s">
        <v>1111</v>
      </c>
    </row>
    <row r="1518" spans="1:3" ht="15">
      <c r="A1518" s="90" t="s">
        <v>322</v>
      </c>
      <c r="B1518" s="89" t="s">
        <v>3141</v>
      </c>
      <c r="C1518" s="102" t="s">
        <v>1111</v>
      </c>
    </row>
    <row r="1519" spans="1:3" ht="15">
      <c r="A1519" s="90" t="s">
        <v>322</v>
      </c>
      <c r="B1519" s="89" t="s">
        <v>2873</v>
      </c>
      <c r="C1519" s="102" t="s">
        <v>1111</v>
      </c>
    </row>
    <row r="1520" spans="1:3" ht="15">
      <c r="A1520" s="90" t="s">
        <v>322</v>
      </c>
      <c r="B1520" s="89" t="s">
        <v>2787</v>
      </c>
      <c r="C1520" s="102" t="s">
        <v>1111</v>
      </c>
    </row>
    <row r="1521" spans="1:3" ht="15">
      <c r="A1521" s="90" t="s">
        <v>322</v>
      </c>
      <c r="B1521" s="89" t="s">
        <v>3730</v>
      </c>
      <c r="C1521" s="102" t="s">
        <v>1111</v>
      </c>
    </row>
    <row r="1522" spans="1:3" ht="15">
      <c r="A1522" s="90" t="s">
        <v>322</v>
      </c>
      <c r="B1522" s="89" t="s">
        <v>3731</v>
      </c>
      <c r="C1522" s="102" t="s">
        <v>1111</v>
      </c>
    </row>
    <row r="1523" spans="1:3" ht="15">
      <c r="A1523" s="90" t="s">
        <v>322</v>
      </c>
      <c r="B1523" s="89" t="s">
        <v>2782</v>
      </c>
      <c r="C1523" s="102" t="s">
        <v>1111</v>
      </c>
    </row>
    <row r="1524" spans="1:3" ht="15">
      <c r="A1524" s="90" t="s">
        <v>322</v>
      </c>
      <c r="B1524" s="89" t="s">
        <v>3732</v>
      </c>
      <c r="C1524" s="102" t="s">
        <v>1111</v>
      </c>
    </row>
    <row r="1525" spans="1:3" ht="15">
      <c r="A1525" s="90" t="s">
        <v>322</v>
      </c>
      <c r="B1525" s="89" t="s">
        <v>3733</v>
      </c>
      <c r="C1525" s="102" t="s">
        <v>1111</v>
      </c>
    </row>
    <row r="1526" spans="1:3" ht="15">
      <c r="A1526" s="90" t="s">
        <v>322</v>
      </c>
      <c r="B1526" s="89" t="s">
        <v>3165</v>
      </c>
      <c r="C1526" s="102" t="s">
        <v>1111</v>
      </c>
    </row>
    <row r="1527" spans="1:3" ht="15">
      <c r="A1527" s="90" t="s">
        <v>322</v>
      </c>
      <c r="B1527" s="89" t="s">
        <v>3734</v>
      </c>
      <c r="C1527" s="102" t="s">
        <v>1111</v>
      </c>
    </row>
    <row r="1528" spans="1:3" ht="15">
      <c r="A1528" s="90" t="s">
        <v>322</v>
      </c>
      <c r="B1528" s="89" t="s">
        <v>2714</v>
      </c>
      <c r="C1528" s="102" t="s">
        <v>1111</v>
      </c>
    </row>
    <row r="1529" spans="1:3" ht="15">
      <c r="A1529" s="90" t="s">
        <v>322</v>
      </c>
      <c r="B1529" s="89" t="s">
        <v>3153</v>
      </c>
      <c r="C1529" s="102" t="s">
        <v>1111</v>
      </c>
    </row>
    <row r="1530" spans="1:3" ht="15">
      <c r="A1530" s="90" t="s">
        <v>322</v>
      </c>
      <c r="B1530" s="89" t="s">
        <v>3735</v>
      </c>
      <c r="C1530" s="102" t="s">
        <v>1111</v>
      </c>
    </row>
    <row r="1531" spans="1:3" ht="15">
      <c r="A1531" s="90" t="s">
        <v>322</v>
      </c>
      <c r="B1531" s="89" t="s">
        <v>3736</v>
      </c>
      <c r="C1531" s="102" t="s">
        <v>1111</v>
      </c>
    </row>
    <row r="1532" spans="1:3" ht="15">
      <c r="A1532" s="90" t="s">
        <v>322</v>
      </c>
      <c r="B1532" s="89" t="s">
        <v>3737</v>
      </c>
      <c r="C1532" s="102" t="s">
        <v>1111</v>
      </c>
    </row>
    <row r="1533" spans="1:3" ht="15">
      <c r="A1533" s="90" t="s">
        <v>322</v>
      </c>
      <c r="B1533" s="89" t="s">
        <v>3738</v>
      </c>
      <c r="C1533" s="102" t="s">
        <v>1111</v>
      </c>
    </row>
    <row r="1534" spans="1:3" ht="15">
      <c r="A1534" s="90" t="s">
        <v>321</v>
      </c>
      <c r="B1534" s="89" t="s">
        <v>3245</v>
      </c>
      <c r="C1534" s="102" t="s">
        <v>1110</v>
      </c>
    </row>
    <row r="1535" spans="1:3" ht="15">
      <c r="A1535" s="90" t="s">
        <v>321</v>
      </c>
      <c r="B1535" s="89" t="s">
        <v>3739</v>
      </c>
      <c r="C1535" s="102" t="s">
        <v>1110</v>
      </c>
    </row>
    <row r="1536" spans="1:3" ht="15">
      <c r="A1536" s="90" t="s">
        <v>321</v>
      </c>
      <c r="B1536" s="89" t="s">
        <v>3247</v>
      </c>
      <c r="C1536" s="102" t="s">
        <v>1110</v>
      </c>
    </row>
    <row r="1537" spans="1:3" ht="15">
      <c r="A1537" s="90" t="s">
        <v>321</v>
      </c>
      <c r="B1537" s="89" t="s">
        <v>3325</v>
      </c>
      <c r="C1537" s="102" t="s">
        <v>1110</v>
      </c>
    </row>
    <row r="1538" spans="1:3" ht="15">
      <c r="A1538" s="90" t="s">
        <v>321</v>
      </c>
      <c r="B1538" s="89" t="s">
        <v>3155</v>
      </c>
      <c r="C1538" s="102" t="s">
        <v>1110</v>
      </c>
    </row>
    <row r="1539" spans="1:3" ht="15">
      <c r="A1539" s="90" t="s">
        <v>321</v>
      </c>
      <c r="B1539" s="89" t="s">
        <v>3204</v>
      </c>
      <c r="C1539" s="102" t="s">
        <v>1110</v>
      </c>
    </row>
    <row r="1540" spans="1:3" ht="15">
      <c r="A1540" s="90" t="s">
        <v>321</v>
      </c>
      <c r="B1540" s="89" t="s">
        <v>3141</v>
      </c>
      <c r="C1540" s="102" t="s">
        <v>1110</v>
      </c>
    </row>
    <row r="1541" spans="1:3" ht="15">
      <c r="A1541" s="90" t="s">
        <v>321</v>
      </c>
      <c r="B1541" s="89" t="s">
        <v>3740</v>
      </c>
      <c r="C1541" s="102" t="s">
        <v>1110</v>
      </c>
    </row>
    <row r="1542" spans="1:3" ht="15">
      <c r="A1542" s="90" t="s">
        <v>321</v>
      </c>
      <c r="B1542" s="89" t="s">
        <v>2781</v>
      </c>
      <c r="C1542" s="102" t="s">
        <v>1110</v>
      </c>
    </row>
    <row r="1543" spans="1:3" ht="15">
      <c r="A1543" s="90" t="s">
        <v>321</v>
      </c>
      <c r="B1543" s="89" t="s">
        <v>3200</v>
      </c>
      <c r="C1543" s="102" t="s">
        <v>1110</v>
      </c>
    </row>
    <row r="1544" spans="1:3" ht="15">
      <c r="A1544" s="90" t="s">
        <v>321</v>
      </c>
      <c r="B1544" s="89" t="s">
        <v>3741</v>
      </c>
      <c r="C1544" s="102" t="s">
        <v>1110</v>
      </c>
    </row>
    <row r="1545" spans="1:3" ht="15">
      <c r="A1545" s="90" t="s">
        <v>321</v>
      </c>
      <c r="B1545" s="89" t="s">
        <v>3742</v>
      </c>
      <c r="C1545" s="102" t="s">
        <v>1110</v>
      </c>
    </row>
    <row r="1546" spans="1:3" ht="15">
      <c r="A1546" s="90" t="s">
        <v>321</v>
      </c>
      <c r="B1546" s="89" t="s">
        <v>3137</v>
      </c>
      <c r="C1546" s="102" t="s">
        <v>1110</v>
      </c>
    </row>
    <row r="1547" spans="1:3" ht="15">
      <c r="A1547" s="90" t="s">
        <v>321</v>
      </c>
      <c r="B1547" s="89" t="s">
        <v>3743</v>
      </c>
      <c r="C1547" s="102" t="s">
        <v>1110</v>
      </c>
    </row>
    <row r="1548" spans="1:3" ht="15">
      <c r="A1548" s="90" t="s">
        <v>321</v>
      </c>
      <c r="B1548" s="89" t="s">
        <v>3744</v>
      </c>
      <c r="C1548" s="102" t="s">
        <v>1110</v>
      </c>
    </row>
    <row r="1549" spans="1:3" ht="15">
      <c r="A1549" s="90" t="s">
        <v>321</v>
      </c>
      <c r="B1549" s="89" t="s">
        <v>3745</v>
      </c>
      <c r="C1549" s="102" t="s">
        <v>1110</v>
      </c>
    </row>
    <row r="1550" spans="1:3" ht="15">
      <c r="A1550" s="90" t="s">
        <v>321</v>
      </c>
      <c r="B1550" s="89" t="s">
        <v>3746</v>
      </c>
      <c r="C1550" s="102" t="s">
        <v>1110</v>
      </c>
    </row>
    <row r="1551" spans="1:3" ht="15">
      <c r="A1551" s="90" t="s">
        <v>321</v>
      </c>
      <c r="B1551" s="89" t="s">
        <v>3201</v>
      </c>
      <c r="C1551" s="102" t="s">
        <v>1110</v>
      </c>
    </row>
    <row r="1552" spans="1:3" ht="15">
      <c r="A1552" s="90" t="s">
        <v>321</v>
      </c>
      <c r="B1552" s="89" t="s">
        <v>3747</v>
      </c>
      <c r="C1552" s="102" t="s">
        <v>1110</v>
      </c>
    </row>
    <row r="1553" spans="1:3" ht="15">
      <c r="A1553" s="90" t="s">
        <v>321</v>
      </c>
      <c r="B1553" s="89" t="s">
        <v>3299</v>
      </c>
      <c r="C1553" s="102" t="s">
        <v>1110</v>
      </c>
    </row>
    <row r="1554" spans="1:3" ht="15">
      <c r="A1554" s="90" t="s">
        <v>321</v>
      </c>
      <c r="B1554" s="89" t="s">
        <v>3165</v>
      </c>
      <c r="C1554" s="102" t="s">
        <v>1110</v>
      </c>
    </row>
    <row r="1555" spans="1:3" ht="15">
      <c r="A1555" s="90" t="s">
        <v>321</v>
      </c>
      <c r="B1555" s="89" t="s">
        <v>3748</v>
      </c>
      <c r="C1555" s="102" t="s">
        <v>1110</v>
      </c>
    </row>
    <row r="1556" spans="1:3" ht="15">
      <c r="A1556" s="90" t="s">
        <v>321</v>
      </c>
      <c r="B1556" s="89" t="s">
        <v>3749</v>
      </c>
      <c r="C1556" s="102" t="s">
        <v>1110</v>
      </c>
    </row>
    <row r="1557" spans="1:3" ht="15">
      <c r="A1557" s="90" t="s">
        <v>321</v>
      </c>
      <c r="B1557" s="89" t="s">
        <v>3750</v>
      </c>
      <c r="C1557" s="102" t="s">
        <v>1110</v>
      </c>
    </row>
    <row r="1558" spans="1:3" ht="15">
      <c r="A1558" s="90" t="s">
        <v>321</v>
      </c>
      <c r="B1558" s="89" t="s">
        <v>3751</v>
      </c>
      <c r="C1558" s="102" t="s">
        <v>1110</v>
      </c>
    </row>
    <row r="1559" spans="1:3" ht="15">
      <c r="A1559" s="90" t="s">
        <v>321</v>
      </c>
      <c r="B1559" s="89" t="s">
        <v>3752</v>
      </c>
      <c r="C1559" s="102" t="s">
        <v>1110</v>
      </c>
    </row>
    <row r="1560" spans="1:3" ht="15">
      <c r="A1560" s="90" t="s">
        <v>321</v>
      </c>
      <c r="B1560" s="89" t="s">
        <v>2999</v>
      </c>
      <c r="C1560" s="102" t="s">
        <v>1110</v>
      </c>
    </row>
    <row r="1561" spans="1:3" ht="15">
      <c r="A1561" s="90" t="s">
        <v>321</v>
      </c>
      <c r="B1561" s="89" t="s">
        <v>3753</v>
      </c>
      <c r="C1561" s="102" t="s">
        <v>1110</v>
      </c>
    </row>
    <row r="1562" spans="1:3" ht="15">
      <c r="A1562" s="90" t="s">
        <v>321</v>
      </c>
      <c r="B1562" s="89" t="s">
        <v>3754</v>
      </c>
      <c r="C1562" s="102" t="s">
        <v>1110</v>
      </c>
    </row>
    <row r="1563" spans="1:3" ht="15">
      <c r="A1563" s="90" t="s">
        <v>321</v>
      </c>
      <c r="B1563" s="89" t="s">
        <v>3755</v>
      </c>
      <c r="C1563" s="102" t="s">
        <v>1110</v>
      </c>
    </row>
    <row r="1564" spans="1:3" ht="15">
      <c r="A1564" s="90" t="s">
        <v>321</v>
      </c>
      <c r="B1564" s="89" t="s">
        <v>3756</v>
      </c>
      <c r="C1564" s="102" t="s">
        <v>1110</v>
      </c>
    </row>
    <row r="1565" spans="1:3" ht="15">
      <c r="A1565" s="90" t="s">
        <v>321</v>
      </c>
      <c r="B1565" s="89" t="s">
        <v>714</v>
      </c>
      <c r="C1565" s="102" t="s">
        <v>1110</v>
      </c>
    </row>
    <row r="1566" spans="1:3" ht="15">
      <c r="A1566" s="90" t="s">
        <v>320</v>
      </c>
      <c r="B1566" s="89" t="s">
        <v>475</v>
      </c>
      <c r="C1566" s="102" t="s">
        <v>1109</v>
      </c>
    </row>
    <row r="1567" spans="1:3" ht="15">
      <c r="A1567" s="90" t="s">
        <v>320</v>
      </c>
      <c r="B1567" s="89" t="s">
        <v>474</v>
      </c>
      <c r="C1567" s="102" t="s">
        <v>1109</v>
      </c>
    </row>
    <row r="1568" spans="1:3" ht="15">
      <c r="A1568" s="90" t="s">
        <v>320</v>
      </c>
      <c r="B1568" s="89" t="s">
        <v>3757</v>
      </c>
      <c r="C1568" s="102" t="s">
        <v>1109</v>
      </c>
    </row>
    <row r="1569" spans="1:3" ht="15">
      <c r="A1569" s="90" t="s">
        <v>320</v>
      </c>
      <c r="B1569" s="89" t="s">
        <v>3758</v>
      </c>
      <c r="C1569" s="102" t="s">
        <v>1109</v>
      </c>
    </row>
    <row r="1570" spans="1:3" ht="15">
      <c r="A1570" s="90" t="s">
        <v>320</v>
      </c>
      <c r="B1570" s="89" t="s">
        <v>3592</v>
      </c>
      <c r="C1570" s="102" t="s">
        <v>1109</v>
      </c>
    </row>
    <row r="1571" spans="1:3" ht="15">
      <c r="A1571" s="90" t="s">
        <v>320</v>
      </c>
      <c r="B1571" s="89" t="s">
        <v>3378</v>
      </c>
      <c r="C1571" s="102" t="s">
        <v>1109</v>
      </c>
    </row>
    <row r="1572" spans="1:3" ht="15">
      <c r="A1572" s="90" t="s">
        <v>320</v>
      </c>
      <c r="B1572" s="89" t="s">
        <v>3759</v>
      </c>
      <c r="C1572" s="102" t="s">
        <v>1109</v>
      </c>
    </row>
    <row r="1573" spans="1:3" ht="15">
      <c r="A1573" s="90" t="s">
        <v>320</v>
      </c>
      <c r="B1573" s="89" t="s">
        <v>3760</v>
      </c>
      <c r="C1573" s="102" t="s">
        <v>1109</v>
      </c>
    </row>
    <row r="1574" spans="1:3" ht="15">
      <c r="A1574" s="90" t="s">
        <v>320</v>
      </c>
      <c r="B1574" s="89" t="s">
        <v>3761</v>
      </c>
      <c r="C1574" s="102" t="s">
        <v>1109</v>
      </c>
    </row>
    <row r="1575" spans="1:3" ht="15">
      <c r="A1575" s="90" t="s">
        <v>320</v>
      </c>
      <c r="B1575" s="89" t="s">
        <v>3762</v>
      </c>
      <c r="C1575" s="102" t="s">
        <v>1109</v>
      </c>
    </row>
    <row r="1576" spans="1:3" ht="15">
      <c r="A1576" s="90" t="s">
        <v>320</v>
      </c>
      <c r="B1576" s="89" t="s">
        <v>3141</v>
      </c>
      <c r="C1576" s="102" t="s">
        <v>1109</v>
      </c>
    </row>
    <row r="1577" spans="1:3" ht="15">
      <c r="A1577" s="90" t="s">
        <v>320</v>
      </c>
      <c r="B1577" s="89" t="s">
        <v>2817</v>
      </c>
      <c r="C1577" s="102" t="s">
        <v>1109</v>
      </c>
    </row>
    <row r="1578" spans="1:3" ht="15">
      <c r="A1578" s="90" t="s">
        <v>320</v>
      </c>
      <c r="B1578" s="89" t="s">
        <v>712</v>
      </c>
      <c r="C1578" s="102" t="s">
        <v>1109</v>
      </c>
    </row>
    <row r="1579" spans="1:3" ht="15">
      <c r="A1579" s="90" t="s">
        <v>320</v>
      </c>
      <c r="B1579" s="89" t="s">
        <v>3763</v>
      </c>
      <c r="C1579" s="102" t="s">
        <v>1109</v>
      </c>
    </row>
    <row r="1580" spans="1:3" ht="15">
      <c r="A1580" s="90" t="s">
        <v>319</v>
      </c>
      <c r="B1580" s="89" t="s">
        <v>3245</v>
      </c>
      <c r="C1580" s="102" t="s">
        <v>1108</v>
      </c>
    </row>
    <row r="1581" spans="1:3" ht="15">
      <c r="A1581" s="90" t="s">
        <v>319</v>
      </c>
      <c r="B1581" s="89" t="s">
        <v>3247</v>
      </c>
      <c r="C1581" s="102" t="s">
        <v>1108</v>
      </c>
    </row>
    <row r="1582" spans="1:3" ht="15">
      <c r="A1582" s="90" t="s">
        <v>319</v>
      </c>
      <c r="B1582" s="89" t="s">
        <v>3629</v>
      </c>
      <c r="C1582" s="102" t="s">
        <v>1108</v>
      </c>
    </row>
    <row r="1583" spans="1:3" ht="15">
      <c r="A1583" s="90" t="s">
        <v>319</v>
      </c>
      <c r="B1583" s="89" t="s">
        <v>2664</v>
      </c>
      <c r="C1583" s="102" t="s">
        <v>1108</v>
      </c>
    </row>
    <row r="1584" spans="1:3" ht="15">
      <c r="A1584" s="90" t="s">
        <v>319</v>
      </c>
      <c r="B1584" s="89" t="s">
        <v>3346</v>
      </c>
      <c r="C1584" s="102" t="s">
        <v>1108</v>
      </c>
    </row>
    <row r="1585" spans="1:3" ht="15">
      <c r="A1585" s="90" t="s">
        <v>319</v>
      </c>
      <c r="B1585" s="89" t="s">
        <v>2853</v>
      </c>
      <c r="C1585" s="102" t="s">
        <v>1108</v>
      </c>
    </row>
    <row r="1586" spans="1:3" ht="15">
      <c r="A1586" s="90" t="s">
        <v>319</v>
      </c>
      <c r="B1586" s="89" t="s">
        <v>2854</v>
      </c>
      <c r="C1586" s="102" t="s">
        <v>1108</v>
      </c>
    </row>
    <row r="1587" spans="1:3" ht="15">
      <c r="A1587" s="90" t="s">
        <v>319</v>
      </c>
      <c r="B1587" s="89" t="s">
        <v>2783</v>
      </c>
      <c r="C1587" s="102" t="s">
        <v>1108</v>
      </c>
    </row>
    <row r="1588" spans="1:3" ht="15">
      <c r="A1588" s="90" t="s">
        <v>319</v>
      </c>
      <c r="B1588" s="89" t="s">
        <v>2855</v>
      </c>
      <c r="C1588" s="102" t="s">
        <v>1108</v>
      </c>
    </row>
    <row r="1589" spans="1:3" ht="15">
      <c r="A1589" s="90" t="s">
        <v>319</v>
      </c>
      <c r="B1589" s="89" t="s">
        <v>3211</v>
      </c>
      <c r="C1589" s="102" t="s">
        <v>1108</v>
      </c>
    </row>
    <row r="1590" spans="1:3" ht="15">
      <c r="A1590" s="90" t="s">
        <v>319</v>
      </c>
      <c r="B1590" s="89" t="s">
        <v>2856</v>
      </c>
      <c r="C1590" s="102" t="s">
        <v>1108</v>
      </c>
    </row>
    <row r="1591" spans="1:3" ht="15">
      <c r="A1591" s="90" t="s">
        <v>319</v>
      </c>
      <c r="B1591" s="89" t="s">
        <v>2857</v>
      </c>
      <c r="C1591" s="102" t="s">
        <v>1108</v>
      </c>
    </row>
    <row r="1592" spans="1:3" ht="15">
      <c r="A1592" s="90" t="s">
        <v>319</v>
      </c>
      <c r="B1592" s="89" t="s">
        <v>3204</v>
      </c>
      <c r="C1592" s="102" t="s">
        <v>1108</v>
      </c>
    </row>
    <row r="1593" spans="1:3" ht="15">
      <c r="A1593" s="90" t="s">
        <v>319</v>
      </c>
      <c r="B1593" s="89" t="s">
        <v>3141</v>
      </c>
      <c r="C1593" s="102" t="s">
        <v>1108</v>
      </c>
    </row>
    <row r="1594" spans="1:3" ht="15">
      <c r="A1594" s="90" t="s">
        <v>319</v>
      </c>
      <c r="B1594" s="89" t="s">
        <v>3630</v>
      </c>
      <c r="C1594" s="102" t="s">
        <v>1108</v>
      </c>
    </row>
    <row r="1595" spans="1:3" ht="15">
      <c r="A1595" s="90" t="s">
        <v>319</v>
      </c>
      <c r="B1595" s="89" t="s">
        <v>3631</v>
      </c>
      <c r="C1595" s="102" t="s">
        <v>1108</v>
      </c>
    </row>
    <row r="1596" spans="1:3" ht="15">
      <c r="A1596" s="90" t="s">
        <v>319</v>
      </c>
      <c r="B1596" s="89" t="s">
        <v>3137</v>
      </c>
      <c r="C1596" s="102" t="s">
        <v>1108</v>
      </c>
    </row>
    <row r="1597" spans="1:3" ht="15">
      <c r="A1597" s="90" t="s">
        <v>319</v>
      </c>
      <c r="B1597" s="89" t="s">
        <v>3192</v>
      </c>
      <c r="C1597" s="102" t="s">
        <v>1108</v>
      </c>
    </row>
    <row r="1598" spans="1:3" ht="15">
      <c r="A1598" s="90" t="s">
        <v>319</v>
      </c>
      <c r="B1598" s="89" t="s">
        <v>2710</v>
      </c>
      <c r="C1598" s="102" t="s">
        <v>1108</v>
      </c>
    </row>
    <row r="1599" spans="1:3" ht="15">
      <c r="A1599" s="90" t="s">
        <v>319</v>
      </c>
      <c r="B1599" s="89" t="s">
        <v>3632</v>
      </c>
      <c r="C1599" s="102" t="s">
        <v>1108</v>
      </c>
    </row>
    <row r="1600" spans="1:3" ht="15">
      <c r="A1600" s="90" t="s">
        <v>319</v>
      </c>
      <c r="B1600" s="89" t="s">
        <v>3633</v>
      </c>
      <c r="C1600" s="102" t="s">
        <v>1108</v>
      </c>
    </row>
    <row r="1601" spans="1:3" ht="15">
      <c r="A1601" s="90" t="s">
        <v>319</v>
      </c>
      <c r="B1601" s="89" t="s">
        <v>2751</v>
      </c>
      <c r="C1601" s="102" t="s">
        <v>1108</v>
      </c>
    </row>
    <row r="1602" spans="1:3" ht="15">
      <c r="A1602" s="90" t="s">
        <v>319</v>
      </c>
      <c r="B1602" s="89" t="s">
        <v>3173</v>
      </c>
      <c r="C1602" s="102" t="s">
        <v>1108</v>
      </c>
    </row>
    <row r="1603" spans="1:3" ht="15">
      <c r="A1603" s="90" t="s">
        <v>319</v>
      </c>
      <c r="B1603" s="89" t="s">
        <v>2858</v>
      </c>
      <c r="C1603" s="102" t="s">
        <v>1108</v>
      </c>
    </row>
    <row r="1604" spans="1:3" ht="15">
      <c r="A1604" s="90" t="s">
        <v>319</v>
      </c>
      <c r="B1604" s="89" t="s">
        <v>3165</v>
      </c>
      <c r="C1604" s="102" t="s">
        <v>1108</v>
      </c>
    </row>
    <row r="1605" spans="1:3" ht="15">
      <c r="A1605" s="90" t="s">
        <v>319</v>
      </c>
      <c r="B1605" s="89" t="s">
        <v>2707</v>
      </c>
      <c r="C1605" s="102" t="s">
        <v>1108</v>
      </c>
    </row>
    <row r="1606" spans="1:3" ht="15">
      <c r="A1606" s="90" t="s">
        <v>319</v>
      </c>
      <c r="B1606" s="89" t="s">
        <v>2859</v>
      </c>
      <c r="C1606" s="102" t="s">
        <v>1108</v>
      </c>
    </row>
    <row r="1607" spans="1:3" ht="15">
      <c r="A1607" s="90" t="s">
        <v>319</v>
      </c>
      <c r="B1607" s="89" t="s">
        <v>3582</v>
      </c>
      <c r="C1607" s="102" t="s">
        <v>1108</v>
      </c>
    </row>
    <row r="1608" spans="1:3" ht="15">
      <c r="A1608" s="90" t="s">
        <v>319</v>
      </c>
      <c r="B1608" s="89" t="s">
        <v>2730</v>
      </c>
      <c r="C1608" s="102" t="s">
        <v>1108</v>
      </c>
    </row>
    <row r="1609" spans="1:3" ht="15">
      <c r="A1609" s="90" t="s">
        <v>319</v>
      </c>
      <c r="B1609" s="89" t="s">
        <v>2860</v>
      </c>
      <c r="C1609" s="102" t="s">
        <v>1108</v>
      </c>
    </row>
    <row r="1610" spans="1:3" ht="15">
      <c r="A1610" s="90" t="s">
        <v>319</v>
      </c>
      <c r="B1610" s="89" t="s">
        <v>2861</v>
      </c>
      <c r="C1610" s="102" t="s">
        <v>1108</v>
      </c>
    </row>
    <row r="1611" spans="1:3" ht="15">
      <c r="A1611" s="90" t="s">
        <v>319</v>
      </c>
      <c r="B1611" s="89" t="s">
        <v>3563</v>
      </c>
      <c r="C1611" s="102" t="s">
        <v>1108</v>
      </c>
    </row>
    <row r="1612" spans="1:3" ht="15">
      <c r="A1612" s="90" t="s">
        <v>319</v>
      </c>
      <c r="B1612" s="89" t="s">
        <v>2862</v>
      </c>
      <c r="C1612" s="102" t="s">
        <v>1108</v>
      </c>
    </row>
    <row r="1613" spans="1:3" ht="15">
      <c r="A1613" s="90" t="s">
        <v>319</v>
      </c>
      <c r="B1613" s="89" t="s">
        <v>2863</v>
      </c>
      <c r="C1613" s="102" t="s">
        <v>1108</v>
      </c>
    </row>
    <row r="1614" spans="1:3" ht="15">
      <c r="A1614" s="90" t="s">
        <v>319</v>
      </c>
      <c r="B1614" s="89" t="s">
        <v>2784</v>
      </c>
      <c r="C1614" s="102" t="s">
        <v>1108</v>
      </c>
    </row>
    <row r="1615" spans="1:3" ht="15">
      <c r="A1615" s="90" t="s">
        <v>319</v>
      </c>
      <c r="B1615" s="89" t="s">
        <v>2864</v>
      </c>
      <c r="C1615" s="102" t="s">
        <v>1108</v>
      </c>
    </row>
    <row r="1616" spans="1:3" ht="15">
      <c r="A1616" s="90" t="s">
        <v>318</v>
      </c>
      <c r="B1616" s="89" t="s">
        <v>471</v>
      </c>
      <c r="C1616" s="102" t="s">
        <v>1107</v>
      </c>
    </row>
    <row r="1617" spans="1:3" ht="15">
      <c r="A1617" s="90" t="s">
        <v>318</v>
      </c>
      <c r="B1617" s="89" t="s">
        <v>3764</v>
      </c>
      <c r="C1617" s="102" t="s">
        <v>1107</v>
      </c>
    </row>
    <row r="1618" spans="1:3" ht="15">
      <c r="A1618" s="90" t="s">
        <v>318</v>
      </c>
      <c r="B1618" s="89" t="s">
        <v>2717</v>
      </c>
      <c r="C1618" s="102" t="s">
        <v>1107</v>
      </c>
    </row>
    <row r="1619" spans="1:3" ht="15">
      <c r="A1619" s="90" t="s">
        <v>318</v>
      </c>
      <c r="B1619" s="89" t="s">
        <v>3161</v>
      </c>
      <c r="C1619" s="102" t="s">
        <v>1107</v>
      </c>
    </row>
    <row r="1620" spans="1:3" ht="15">
      <c r="A1620" s="90" t="s">
        <v>318</v>
      </c>
      <c r="B1620" s="89" t="s">
        <v>712</v>
      </c>
      <c r="C1620" s="102" t="s">
        <v>1107</v>
      </c>
    </row>
    <row r="1621" spans="1:3" ht="15">
      <c r="A1621" s="90" t="s">
        <v>318</v>
      </c>
      <c r="B1621" s="89" t="s">
        <v>3765</v>
      </c>
      <c r="C1621" s="102" t="s">
        <v>1107</v>
      </c>
    </row>
    <row r="1622" spans="1:3" ht="15">
      <c r="A1622" s="90" t="s">
        <v>318</v>
      </c>
      <c r="B1622" s="89" t="s">
        <v>3766</v>
      </c>
      <c r="C1622" s="102" t="s">
        <v>1107</v>
      </c>
    </row>
    <row r="1623" spans="1:3" ht="15">
      <c r="A1623" s="90" t="s">
        <v>318</v>
      </c>
      <c r="B1623" s="89" t="s">
        <v>3767</v>
      </c>
      <c r="C1623" s="102" t="s">
        <v>1107</v>
      </c>
    </row>
    <row r="1624" spans="1:3" ht="15">
      <c r="A1624" s="90" t="s">
        <v>318</v>
      </c>
      <c r="B1624" s="89" t="s">
        <v>3768</v>
      </c>
      <c r="C1624" s="102" t="s">
        <v>1107</v>
      </c>
    </row>
    <row r="1625" spans="1:3" ht="15">
      <c r="A1625" s="90" t="s">
        <v>318</v>
      </c>
      <c r="B1625" s="89" t="s">
        <v>3769</v>
      </c>
      <c r="C1625" s="102" t="s">
        <v>1107</v>
      </c>
    </row>
    <row r="1626" spans="1:3" ht="15">
      <c r="A1626" s="90" t="s">
        <v>318</v>
      </c>
      <c r="B1626" s="89" t="s">
        <v>3153</v>
      </c>
      <c r="C1626" s="102" t="s">
        <v>1107</v>
      </c>
    </row>
    <row r="1627" spans="1:3" ht="15">
      <c r="A1627" s="90" t="s">
        <v>318</v>
      </c>
      <c r="B1627" s="89" t="s">
        <v>3306</v>
      </c>
      <c r="C1627" s="102" t="s">
        <v>1107</v>
      </c>
    </row>
    <row r="1628" spans="1:3" ht="15">
      <c r="A1628" s="90" t="s">
        <v>318</v>
      </c>
      <c r="B1628" s="89" t="s">
        <v>3770</v>
      </c>
      <c r="C1628" s="102" t="s">
        <v>1107</v>
      </c>
    </row>
    <row r="1629" spans="1:3" ht="15">
      <c r="A1629" s="90" t="s">
        <v>318</v>
      </c>
      <c r="B1629" s="89" t="s">
        <v>3771</v>
      </c>
      <c r="C1629" s="102" t="s">
        <v>1107</v>
      </c>
    </row>
    <row r="1630" spans="1:3" ht="15">
      <c r="A1630" s="90" t="s">
        <v>318</v>
      </c>
      <c r="B1630" s="89" t="s">
        <v>3263</v>
      </c>
      <c r="C1630" s="102" t="s">
        <v>1107</v>
      </c>
    </row>
    <row r="1631" spans="1:3" ht="15">
      <c r="A1631" s="90" t="s">
        <v>318</v>
      </c>
      <c r="B1631" s="89" t="s">
        <v>3772</v>
      </c>
      <c r="C1631" s="102" t="s">
        <v>1107</v>
      </c>
    </row>
    <row r="1632" spans="1:3" ht="15">
      <c r="A1632" s="90" t="s">
        <v>318</v>
      </c>
      <c r="B1632" s="89" t="s">
        <v>3773</v>
      </c>
      <c r="C1632" s="102" t="s">
        <v>1107</v>
      </c>
    </row>
    <row r="1633" spans="1:3" ht="15">
      <c r="A1633" s="90" t="s">
        <v>318</v>
      </c>
      <c r="B1633" s="89" t="s">
        <v>2680</v>
      </c>
      <c r="C1633" s="102" t="s">
        <v>1107</v>
      </c>
    </row>
    <row r="1634" spans="1:3" ht="15">
      <c r="A1634" s="90" t="s">
        <v>318</v>
      </c>
      <c r="B1634" s="89" t="s">
        <v>3774</v>
      </c>
      <c r="C1634" s="102" t="s">
        <v>1107</v>
      </c>
    </row>
    <row r="1635" spans="1:3" ht="15">
      <c r="A1635" s="90" t="s">
        <v>318</v>
      </c>
      <c r="B1635" s="89" t="s">
        <v>3775</v>
      </c>
      <c r="C1635" s="102" t="s">
        <v>1107</v>
      </c>
    </row>
    <row r="1636" spans="1:3" ht="15">
      <c r="A1636" s="90" t="s">
        <v>318</v>
      </c>
      <c r="B1636" s="89" t="s">
        <v>3137</v>
      </c>
      <c r="C1636" s="102" t="s">
        <v>1107</v>
      </c>
    </row>
    <row r="1637" spans="1:3" ht="15">
      <c r="A1637" s="90" t="s">
        <v>318</v>
      </c>
      <c r="B1637" s="89" t="s">
        <v>3776</v>
      </c>
      <c r="C1637" s="102" t="s">
        <v>1107</v>
      </c>
    </row>
    <row r="1638" spans="1:3" ht="15">
      <c r="A1638" s="90" t="s">
        <v>318</v>
      </c>
      <c r="B1638" s="89" t="s">
        <v>3000</v>
      </c>
      <c r="C1638" s="102" t="s">
        <v>1107</v>
      </c>
    </row>
    <row r="1639" spans="1:3" ht="15">
      <c r="A1639" s="90" t="s">
        <v>318</v>
      </c>
      <c r="B1639" s="89" t="s">
        <v>3777</v>
      </c>
      <c r="C1639" s="102" t="s">
        <v>1107</v>
      </c>
    </row>
    <row r="1640" spans="1:3" ht="15">
      <c r="A1640" s="90" t="s">
        <v>318</v>
      </c>
      <c r="B1640" s="89" t="s">
        <v>2842</v>
      </c>
      <c r="C1640" s="102" t="s">
        <v>1107</v>
      </c>
    </row>
    <row r="1641" spans="1:3" ht="15">
      <c r="A1641" s="90" t="s">
        <v>318</v>
      </c>
      <c r="B1641" s="89" t="s">
        <v>3304</v>
      </c>
      <c r="C1641" s="102" t="s">
        <v>1107</v>
      </c>
    </row>
    <row r="1642" spans="1:3" ht="15">
      <c r="A1642" s="90" t="s">
        <v>318</v>
      </c>
      <c r="B1642" s="89" t="s">
        <v>3778</v>
      </c>
      <c r="C1642" s="102" t="s">
        <v>1107</v>
      </c>
    </row>
    <row r="1643" spans="1:3" ht="15">
      <c r="A1643" s="90" t="s">
        <v>318</v>
      </c>
      <c r="B1643" s="89" t="s">
        <v>3779</v>
      </c>
      <c r="C1643" s="102" t="s">
        <v>1107</v>
      </c>
    </row>
    <row r="1644" spans="1:3" ht="15">
      <c r="A1644" s="90" t="s">
        <v>318</v>
      </c>
      <c r="B1644" s="89" t="s">
        <v>3780</v>
      </c>
      <c r="C1644" s="102" t="s">
        <v>1107</v>
      </c>
    </row>
    <row r="1645" spans="1:3" ht="15">
      <c r="A1645" s="90" t="s">
        <v>318</v>
      </c>
      <c r="B1645" s="89" t="s">
        <v>3781</v>
      </c>
      <c r="C1645" s="102" t="s">
        <v>1107</v>
      </c>
    </row>
    <row r="1646" spans="1:3" ht="15">
      <c r="A1646" s="90" t="s">
        <v>318</v>
      </c>
      <c r="B1646" s="89" t="s">
        <v>3782</v>
      </c>
      <c r="C1646" s="102" t="s">
        <v>1107</v>
      </c>
    </row>
    <row r="1647" spans="1:3" ht="15">
      <c r="A1647" s="90" t="s">
        <v>318</v>
      </c>
      <c r="B1647" s="89" t="s">
        <v>3582</v>
      </c>
      <c r="C1647" s="102" t="s">
        <v>1107</v>
      </c>
    </row>
    <row r="1648" spans="1:3" ht="15">
      <c r="A1648" s="90" t="s">
        <v>318</v>
      </c>
      <c r="B1648" s="89" t="s">
        <v>3165</v>
      </c>
      <c r="C1648" s="102" t="s">
        <v>1107</v>
      </c>
    </row>
    <row r="1649" spans="1:3" ht="15">
      <c r="A1649" s="90" t="s">
        <v>318</v>
      </c>
      <c r="B1649" s="89" t="s">
        <v>3783</v>
      </c>
      <c r="C1649" s="102" t="s">
        <v>1107</v>
      </c>
    </row>
    <row r="1650" spans="1:3" ht="15">
      <c r="A1650" s="90" t="s">
        <v>318</v>
      </c>
      <c r="B1650" s="89" t="s">
        <v>2979</v>
      </c>
      <c r="C1650" s="102" t="s">
        <v>1107</v>
      </c>
    </row>
    <row r="1651" spans="1:3" ht="15">
      <c r="A1651" s="90" t="s">
        <v>318</v>
      </c>
      <c r="B1651" s="89" t="s">
        <v>3784</v>
      </c>
      <c r="C1651" s="102" t="s">
        <v>1107</v>
      </c>
    </row>
    <row r="1652" spans="1:3" ht="15">
      <c r="A1652" s="90" t="s">
        <v>317</v>
      </c>
      <c r="B1652" s="89" t="s">
        <v>3245</v>
      </c>
      <c r="C1652" s="102" t="s">
        <v>1106</v>
      </c>
    </row>
    <row r="1653" spans="1:3" ht="15">
      <c r="A1653" s="90" t="s">
        <v>317</v>
      </c>
      <c r="B1653" s="89" t="s">
        <v>3247</v>
      </c>
      <c r="C1653" s="102" t="s">
        <v>1106</v>
      </c>
    </row>
    <row r="1654" spans="1:3" ht="15">
      <c r="A1654" s="90" t="s">
        <v>317</v>
      </c>
      <c r="B1654" s="89" t="s">
        <v>3785</v>
      </c>
      <c r="C1654" s="102" t="s">
        <v>1106</v>
      </c>
    </row>
    <row r="1655" spans="1:3" ht="15">
      <c r="A1655" s="90" t="s">
        <v>317</v>
      </c>
      <c r="B1655" s="89" t="s">
        <v>3155</v>
      </c>
      <c r="C1655" s="102" t="s">
        <v>1106</v>
      </c>
    </row>
    <row r="1656" spans="1:3" ht="15">
      <c r="A1656" s="90" t="s">
        <v>317</v>
      </c>
      <c r="B1656" s="89" t="s">
        <v>3309</v>
      </c>
      <c r="C1656" s="102" t="s">
        <v>1106</v>
      </c>
    </row>
    <row r="1657" spans="1:3" ht="15">
      <c r="A1657" s="90" t="s">
        <v>317</v>
      </c>
      <c r="B1657" s="89" t="s">
        <v>3001</v>
      </c>
      <c r="C1657" s="102" t="s">
        <v>1106</v>
      </c>
    </row>
    <row r="1658" spans="1:3" ht="15">
      <c r="A1658" s="90" t="s">
        <v>317</v>
      </c>
      <c r="B1658" s="89" t="s">
        <v>3786</v>
      </c>
      <c r="C1658" s="102" t="s">
        <v>1106</v>
      </c>
    </row>
    <row r="1659" spans="1:3" ht="15">
      <c r="A1659" s="90" t="s">
        <v>317</v>
      </c>
      <c r="B1659" s="89" t="s">
        <v>3153</v>
      </c>
      <c r="C1659" s="102" t="s">
        <v>1106</v>
      </c>
    </row>
    <row r="1660" spans="1:3" ht="15">
      <c r="A1660" s="90" t="s">
        <v>317</v>
      </c>
      <c r="B1660" s="89" t="s">
        <v>3787</v>
      </c>
      <c r="C1660" s="102" t="s">
        <v>1106</v>
      </c>
    </row>
    <row r="1661" spans="1:3" ht="15">
      <c r="A1661" s="90" t="s">
        <v>317</v>
      </c>
      <c r="B1661" s="89" t="s">
        <v>3788</v>
      </c>
      <c r="C1661" s="102" t="s">
        <v>1106</v>
      </c>
    </row>
    <row r="1662" spans="1:3" ht="15">
      <c r="A1662" s="90" t="s">
        <v>317</v>
      </c>
      <c r="B1662" s="89" t="s">
        <v>2971</v>
      </c>
      <c r="C1662" s="102" t="s">
        <v>1106</v>
      </c>
    </row>
    <row r="1663" spans="1:3" ht="15">
      <c r="A1663" s="90" t="s">
        <v>317</v>
      </c>
      <c r="B1663" s="89" t="s">
        <v>712</v>
      </c>
      <c r="C1663" s="102" t="s">
        <v>1106</v>
      </c>
    </row>
    <row r="1664" spans="1:3" ht="15">
      <c r="A1664" s="90" t="s">
        <v>317</v>
      </c>
      <c r="B1664" s="89" t="s">
        <v>3141</v>
      </c>
      <c r="C1664" s="102" t="s">
        <v>1106</v>
      </c>
    </row>
    <row r="1665" spans="1:3" ht="15">
      <c r="A1665" s="90" t="s">
        <v>317</v>
      </c>
      <c r="B1665" s="89" t="s">
        <v>2710</v>
      </c>
      <c r="C1665" s="102" t="s">
        <v>1106</v>
      </c>
    </row>
    <row r="1666" spans="1:3" ht="15">
      <c r="A1666" s="90" t="s">
        <v>317</v>
      </c>
      <c r="B1666" s="89" t="s">
        <v>2973</v>
      </c>
      <c r="C1666" s="102" t="s">
        <v>1106</v>
      </c>
    </row>
    <row r="1667" spans="1:3" ht="15">
      <c r="A1667" s="90" t="s">
        <v>317</v>
      </c>
      <c r="B1667" s="89" t="s">
        <v>3789</v>
      </c>
      <c r="C1667" s="102" t="s">
        <v>1106</v>
      </c>
    </row>
    <row r="1668" spans="1:3" ht="15">
      <c r="A1668" s="90" t="s">
        <v>317</v>
      </c>
      <c r="B1668" s="89" t="s">
        <v>3347</v>
      </c>
      <c r="C1668" s="102" t="s">
        <v>1106</v>
      </c>
    </row>
    <row r="1669" spans="1:3" ht="15">
      <c r="A1669" s="90" t="s">
        <v>317</v>
      </c>
      <c r="B1669" s="89" t="s">
        <v>3002</v>
      </c>
      <c r="C1669" s="102" t="s">
        <v>1106</v>
      </c>
    </row>
    <row r="1670" spans="1:3" ht="15">
      <c r="A1670" s="90" t="s">
        <v>317</v>
      </c>
      <c r="B1670" s="89" t="s">
        <v>3790</v>
      </c>
      <c r="C1670" s="102" t="s">
        <v>1106</v>
      </c>
    </row>
    <row r="1671" spans="1:3" ht="15">
      <c r="A1671" s="90" t="s">
        <v>317</v>
      </c>
      <c r="B1671" s="89" t="s">
        <v>3791</v>
      </c>
      <c r="C1671" s="102" t="s">
        <v>1106</v>
      </c>
    </row>
    <row r="1672" spans="1:3" ht="15">
      <c r="A1672" s="90" t="s">
        <v>317</v>
      </c>
      <c r="B1672" s="89">
        <v>13</v>
      </c>
      <c r="C1672" s="102" t="s">
        <v>1106</v>
      </c>
    </row>
    <row r="1673" spans="1:3" ht="15">
      <c r="A1673" s="90" t="s">
        <v>317</v>
      </c>
      <c r="B1673" s="89" t="s">
        <v>3792</v>
      </c>
      <c r="C1673" s="102" t="s">
        <v>1106</v>
      </c>
    </row>
    <row r="1674" spans="1:3" ht="15">
      <c r="A1674" s="90" t="s">
        <v>317</v>
      </c>
      <c r="B1674" s="89">
        <v>12</v>
      </c>
      <c r="C1674" s="102" t="s">
        <v>1106</v>
      </c>
    </row>
    <row r="1675" spans="1:3" ht="15">
      <c r="A1675" s="90" t="s">
        <v>317</v>
      </c>
      <c r="B1675" s="89" t="s">
        <v>3793</v>
      </c>
      <c r="C1675" s="102" t="s">
        <v>1106</v>
      </c>
    </row>
    <row r="1676" spans="1:3" ht="15">
      <c r="A1676" s="90" t="s">
        <v>317</v>
      </c>
      <c r="B1676" s="89" t="s">
        <v>3794</v>
      </c>
      <c r="C1676" s="102" t="s">
        <v>1106</v>
      </c>
    </row>
    <row r="1677" spans="1:3" ht="15">
      <c r="A1677" s="90" t="s">
        <v>317</v>
      </c>
      <c r="B1677" s="89" t="s">
        <v>3297</v>
      </c>
      <c r="C1677" s="102" t="s">
        <v>1106</v>
      </c>
    </row>
    <row r="1678" spans="1:3" ht="15">
      <c r="A1678" s="90" t="s">
        <v>317</v>
      </c>
      <c r="B1678" s="89" t="s">
        <v>2931</v>
      </c>
      <c r="C1678" s="102" t="s">
        <v>1106</v>
      </c>
    </row>
    <row r="1679" spans="1:3" ht="15">
      <c r="A1679" s="90" t="s">
        <v>317</v>
      </c>
      <c r="B1679" s="89" t="s">
        <v>3795</v>
      </c>
      <c r="C1679" s="102" t="s">
        <v>1106</v>
      </c>
    </row>
    <row r="1680" spans="1:3" ht="15">
      <c r="A1680" s="90" t="s">
        <v>317</v>
      </c>
      <c r="B1680" s="89" t="s">
        <v>2868</v>
      </c>
      <c r="C1680" s="102" t="s">
        <v>1106</v>
      </c>
    </row>
    <row r="1681" spans="1:3" ht="15">
      <c r="A1681" s="90" t="s">
        <v>317</v>
      </c>
      <c r="B1681" s="89" t="s">
        <v>2985</v>
      </c>
      <c r="C1681" s="102" t="s">
        <v>1106</v>
      </c>
    </row>
    <row r="1682" spans="1:3" ht="15">
      <c r="A1682" s="90" t="s">
        <v>317</v>
      </c>
      <c r="B1682" s="89" t="s">
        <v>2983</v>
      </c>
      <c r="C1682" s="102" t="s">
        <v>1106</v>
      </c>
    </row>
    <row r="1683" spans="1:3" ht="15">
      <c r="A1683" s="90" t="s">
        <v>317</v>
      </c>
      <c r="B1683" s="89" t="s">
        <v>3796</v>
      </c>
      <c r="C1683" s="102" t="s">
        <v>1106</v>
      </c>
    </row>
    <row r="1684" spans="1:3" ht="15">
      <c r="A1684" s="90" t="s">
        <v>317</v>
      </c>
      <c r="B1684" s="89" t="s">
        <v>2754</v>
      </c>
      <c r="C1684" s="102" t="s">
        <v>1106</v>
      </c>
    </row>
    <row r="1685" spans="1:3" ht="15">
      <c r="A1685" s="90" t="s">
        <v>317</v>
      </c>
      <c r="B1685" s="89" t="s">
        <v>3169</v>
      </c>
      <c r="C1685" s="102" t="s">
        <v>1106</v>
      </c>
    </row>
    <row r="1686" spans="1:3" ht="15">
      <c r="A1686" s="90" t="s">
        <v>317</v>
      </c>
      <c r="B1686" s="89" t="s">
        <v>3797</v>
      </c>
      <c r="C1686" s="102" t="s">
        <v>1106</v>
      </c>
    </row>
    <row r="1687" spans="1:3" ht="15">
      <c r="A1687" s="90" t="s">
        <v>316</v>
      </c>
      <c r="B1687" s="89" t="s">
        <v>3681</v>
      </c>
      <c r="C1687" s="102" t="s">
        <v>1105</v>
      </c>
    </row>
    <row r="1688" spans="1:3" ht="15">
      <c r="A1688" s="90" t="s">
        <v>316</v>
      </c>
      <c r="B1688" s="89" t="s">
        <v>3355</v>
      </c>
      <c r="C1688" s="102" t="s">
        <v>1105</v>
      </c>
    </row>
    <row r="1689" spans="1:3" ht="15">
      <c r="A1689" s="90" t="s">
        <v>316</v>
      </c>
      <c r="B1689" s="89" t="s">
        <v>2670</v>
      </c>
      <c r="C1689" s="102" t="s">
        <v>1105</v>
      </c>
    </row>
    <row r="1690" spans="1:3" ht="15">
      <c r="A1690" s="90" t="s">
        <v>316</v>
      </c>
      <c r="B1690" s="89" t="s">
        <v>2671</v>
      </c>
      <c r="C1690" s="102" t="s">
        <v>1105</v>
      </c>
    </row>
    <row r="1691" spans="1:3" ht="15">
      <c r="A1691" s="90" t="s">
        <v>316</v>
      </c>
      <c r="B1691" s="89" t="s">
        <v>2666</v>
      </c>
      <c r="C1691" s="102" t="s">
        <v>1105</v>
      </c>
    </row>
    <row r="1692" spans="1:3" ht="15">
      <c r="A1692" s="90" t="s">
        <v>316</v>
      </c>
      <c r="B1692" s="89" t="s">
        <v>2664</v>
      </c>
      <c r="C1692" s="102" t="s">
        <v>1105</v>
      </c>
    </row>
    <row r="1693" spans="1:3" ht="15">
      <c r="A1693" s="90" t="s">
        <v>316</v>
      </c>
      <c r="B1693" s="89" t="s">
        <v>2667</v>
      </c>
      <c r="C1693" s="102" t="s">
        <v>1105</v>
      </c>
    </row>
    <row r="1694" spans="1:3" ht="15">
      <c r="A1694" s="90" t="s">
        <v>316</v>
      </c>
      <c r="B1694" s="89" t="s">
        <v>2663</v>
      </c>
      <c r="C1694" s="102" t="s">
        <v>1105</v>
      </c>
    </row>
    <row r="1695" spans="1:3" ht="15">
      <c r="A1695" s="90" t="s">
        <v>316</v>
      </c>
      <c r="B1695" s="89" t="s">
        <v>3137</v>
      </c>
      <c r="C1695" s="102" t="s">
        <v>1105</v>
      </c>
    </row>
    <row r="1696" spans="1:3" ht="15">
      <c r="A1696" s="90" t="s">
        <v>316</v>
      </c>
      <c r="B1696" s="89" t="s">
        <v>712</v>
      </c>
      <c r="C1696" s="102" t="s">
        <v>1105</v>
      </c>
    </row>
    <row r="1697" spans="1:3" ht="15">
      <c r="A1697" s="90" t="s">
        <v>316</v>
      </c>
      <c r="B1697" s="89" t="s">
        <v>3356</v>
      </c>
      <c r="C1697" s="102" t="s">
        <v>1105</v>
      </c>
    </row>
    <row r="1698" spans="1:3" ht="15">
      <c r="A1698" s="90" t="s">
        <v>316</v>
      </c>
      <c r="B1698" s="89" t="s">
        <v>2668</v>
      </c>
      <c r="C1698" s="102" t="s">
        <v>1105</v>
      </c>
    </row>
    <row r="1699" spans="1:3" ht="15">
      <c r="A1699" s="90" t="s">
        <v>316</v>
      </c>
      <c r="B1699" s="89" t="s">
        <v>3357</v>
      </c>
      <c r="C1699" s="102" t="s">
        <v>1105</v>
      </c>
    </row>
    <row r="1700" spans="1:3" ht="15">
      <c r="A1700" s="90" t="s">
        <v>316</v>
      </c>
      <c r="B1700" s="89" t="s">
        <v>2672</v>
      </c>
      <c r="C1700" s="102" t="s">
        <v>1105</v>
      </c>
    </row>
    <row r="1701" spans="1:3" ht="15">
      <c r="A1701" s="90" t="s">
        <v>316</v>
      </c>
      <c r="B1701" s="89" t="s">
        <v>2665</v>
      </c>
      <c r="C1701" s="102" t="s">
        <v>1105</v>
      </c>
    </row>
    <row r="1702" spans="1:3" ht="15">
      <c r="A1702" s="90" t="s">
        <v>316</v>
      </c>
      <c r="B1702" s="89" t="s">
        <v>3307</v>
      </c>
      <c r="C1702" s="102" t="s">
        <v>1105</v>
      </c>
    </row>
    <row r="1703" spans="1:3" ht="15">
      <c r="A1703" s="90" t="s">
        <v>316</v>
      </c>
      <c r="B1703" s="89" t="s">
        <v>2755</v>
      </c>
      <c r="C1703" s="102" t="s">
        <v>1105</v>
      </c>
    </row>
    <row r="1704" spans="1:3" ht="15">
      <c r="A1704" s="90" t="s">
        <v>316</v>
      </c>
      <c r="B1704" s="89" t="s">
        <v>3323</v>
      </c>
      <c r="C1704" s="102" t="s">
        <v>1105</v>
      </c>
    </row>
    <row r="1705" spans="1:3" ht="15">
      <c r="A1705" s="90" t="s">
        <v>316</v>
      </c>
      <c r="B1705" s="89" t="s">
        <v>3289</v>
      </c>
      <c r="C1705" s="102" t="s">
        <v>1105</v>
      </c>
    </row>
    <row r="1706" spans="1:3" ht="15">
      <c r="A1706" s="90" t="s">
        <v>316</v>
      </c>
      <c r="B1706" s="89" t="s">
        <v>3155</v>
      </c>
      <c r="C1706" s="102" t="s">
        <v>1105</v>
      </c>
    </row>
    <row r="1707" spans="1:3" ht="15">
      <c r="A1707" s="90" t="s">
        <v>316</v>
      </c>
      <c r="B1707" s="89" t="s">
        <v>2756</v>
      </c>
      <c r="C1707" s="102" t="s">
        <v>1105</v>
      </c>
    </row>
    <row r="1708" spans="1:3" ht="15">
      <c r="A1708" s="90" t="s">
        <v>316</v>
      </c>
      <c r="B1708" s="89" t="s">
        <v>2757</v>
      </c>
      <c r="C1708" s="102" t="s">
        <v>1105</v>
      </c>
    </row>
    <row r="1709" spans="1:3" ht="15">
      <c r="A1709" s="90" t="s">
        <v>315</v>
      </c>
      <c r="B1709" s="89" t="s">
        <v>3798</v>
      </c>
      <c r="C1709" s="102" t="s">
        <v>1104</v>
      </c>
    </row>
    <row r="1710" spans="1:3" ht="15">
      <c r="A1710" s="90" t="s">
        <v>315</v>
      </c>
      <c r="B1710" s="89" t="s">
        <v>3799</v>
      </c>
      <c r="C1710" s="102" t="s">
        <v>1104</v>
      </c>
    </row>
    <row r="1711" spans="1:3" ht="15">
      <c r="A1711" s="90" t="s">
        <v>315</v>
      </c>
      <c r="B1711" s="89" t="s">
        <v>3355</v>
      </c>
      <c r="C1711" s="102" t="s">
        <v>1104</v>
      </c>
    </row>
    <row r="1712" spans="1:3" ht="15">
      <c r="A1712" s="90" t="s">
        <v>315</v>
      </c>
      <c r="B1712" s="89" t="s">
        <v>2670</v>
      </c>
      <c r="C1712" s="102" t="s">
        <v>1104</v>
      </c>
    </row>
    <row r="1713" spans="1:3" ht="15">
      <c r="A1713" s="90" t="s">
        <v>315</v>
      </c>
      <c r="B1713" s="89" t="s">
        <v>2671</v>
      </c>
      <c r="C1713" s="102" t="s">
        <v>1104</v>
      </c>
    </row>
    <row r="1714" spans="1:3" ht="15">
      <c r="A1714" s="90" t="s">
        <v>315</v>
      </c>
      <c r="B1714" s="89" t="s">
        <v>2666</v>
      </c>
      <c r="C1714" s="102" t="s">
        <v>1104</v>
      </c>
    </row>
    <row r="1715" spans="1:3" ht="15">
      <c r="A1715" s="90" t="s">
        <v>315</v>
      </c>
      <c r="B1715" s="89" t="s">
        <v>2664</v>
      </c>
      <c r="C1715" s="102" t="s">
        <v>1104</v>
      </c>
    </row>
    <row r="1716" spans="1:3" ht="15">
      <c r="A1716" s="90" t="s">
        <v>315</v>
      </c>
      <c r="B1716" s="89" t="s">
        <v>2667</v>
      </c>
      <c r="C1716" s="102" t="s">
        <v>1104</v>
      </c>
    </row>
    <row r="1717" spans="1:3" ht="15">
      <c r="A1717" s="90" t="s">
        <v>315</v>
      </c>
      <c r="B1717" s="89" t="s">
        <v>2663</v>
      </c>
      <c r="C1717" s="102" t="s">
        <v>1104</v>
      </c>
    </row>
    <row r="1718" spans="1:3" ht="15">
      <c r="A1718" s="90" t="s">
        <v>315</v>
      </c>
      <c r="B1718" s="89" t="s">
        <v>3137</v>
      </c>
      <c r="C1718" s="102" t="s">
        <v>1104</v>
      </c>
    </row>
    <row r="1719" spans="1:3" ht="15">
      <c r="A1719" s="90" t="s">
        <v>315</v>
      </c>
      <c r="B1719" s="89" t="s">
        <v>712</v>
      </c>
      <c r="C1719" s="102" t="s">
        <v>1104</v>
      </c>
    </row>
    <row r="1720" spans="1:3" ht="15">
      <c r="A1720" s="90" t="s">
        <v>315</v>
      </c>
      <c r="B1720" s="89" t="s">
        <v>3356</v>
      </c>
      <c r="C1720" s="102" t="s">
        <v>1104</v>
      </c>
    </row>
    <row r="1721" spans="1:3" ht="15">
      <c r="A1721" s="90" t="s">
        <v>315</v>
      </c>
      <c r="B1721" s="89" t="s">
        <v>2668</v>
      </c>
      <c r="C1721" s="102" t="s">
        <v>1104</v>
      </c>
    </row>
    <row r="1722" spans="1:3" ht="15">
      <c r="A1722" s="90" t="s">
        <v>315</v>
      </c>
      <c r="B1722" s="89" t="s">
        <v>3357</v>
      </c>
      <c r="C1722" s="102" t="s">
        <v>1104</v>
      </c>
    </row>
    <row r="1723" spans="1:3" ht="15">
      <c r="A1723" s="90" t="s">
        <v>315</v>
      </c>
      <c r="B1723" s="89" t="s">
        <v>2672</v>
      </c>
      <c r="C1723" s="102" t="s">
        <v>1104</v>
      </c>
    </row>
    <row r="1724" spans="1:3" ht="15">
      <c r="A1724" s="90" t="s">
        <v>315</v>
      </c>
      <c r="B1724" s="89" t="s">
        <v>2665</v>
      </c>
      <c r="C1724" s="102" t="s">
        <v>1104</v>
      </c>
    </row>
    <row r="1725" spans="1:3" ht="15">
      <c r="A1725" s="90" t="s">
        <v>314</v>
      </c>
      <c r="B1725" s="89" t="s">
        <v>3681</v>
      </c>
      <c r="C1725" s="102" t="s">
        <v>1103</v>
      </c>
    </row>
    <row r="1726" spans="1:3" ht="15">
      <c r="A1726" s="90" t="s">
        <v>314</v>
      </c>
      <c r="B1726" s="89" t="s">
        <v>3682</v>
      </c>
      <c r="C1726" s="102" t="s">
        <v>1103</v>
      </c>
    </row>
    <row r="1727" spans="1:3" ht="15">
      <c r="A1727" s="90" t="s">
        <v>314</v>
      </c>
      <c r="B1727" s="89" t="s">
        <v>3141</v>
      </c>
      <c r="C1727" s="102" t="s">
        <v>1103</v>
      </c>
    </row>
    <row r="1728" spans="1:3" ht="15">
      <c r="A1728" s="90" t="s">
        <v>314</v>
      </c>
      <c r="B1728" s="89" t="s">
        <v>3201</v>
      </c>
      <c r="C1728" s="102" t="s">
        <v>1103</v>
      </c>
    </row>
    <row r="1729" spans="1:3" ht="15">
      <c r="A1729" s="90" t="s">
        <v>314</v>
      </c>
      <c r="B1729" s="89" t="s">
        <v>2682</v>
      </c>
      <c r="C1729" s="102" t="s">
        <v>1103</v>
      </c>
    </row>
    <row r="1730" spans="1:3" ht="15">
      <c r="A1730" s="90" t="s">
        <v>314</v>
      </c>
      <c r="B1730" s="89" t="s">
        <v>2720</v>
      </c>
      <c r="C1730" s="102" t="s">
        <v>1103</v>
      </c>
    </row>
    <row r="1731" spans="1:3" ht="15">
      <c r="A1731" s="90" t="s">
        <v>314</v>
      </c>
      <c r="B1731" s="89" t="s">
        <v>3683</v>
      </c>
      <c r="C1731" s="102" t="s">
        <v>1103</v>
      </c>
    </row>
    <row r="1732" spans="1:3" ht="15">
      <c r="A1732" s="90" t="s">
        <v>314</v>
      </c>
      <c r="B1732" s="89" t="s">
        <v>2721</v>
      </c>
      <c r="C1732" s="102" t="s">
        <v>1103</v>
      </c>
    </row>
    <row r="1733" spans="1:3" ht="15">
      <c r="A1733" s="90" t="s">
        <v>314</v>
      </c>
      <c r="B1733" s="89" t="s">
        <v>3684</v>
      </c>
      <c r="C1733" s="102" t="s">
        <v>1103</v>
      </c>
    </row>
    <row r="1734" spans="1:3" ht="15">
      <c r="A1734" s="90" t="s">
        <v>314</v>
      </c>
      <c r="B1734" s="89" t="s">
        <v>2723</v>
      </c>
      <c r="C1734" s="102" t="s">
        <v>1103</v>
      </c>
    </row>
    <row r="1735" spans="1:3" ht="15">
      <c r="A1735" s="90" t="s">
        <v>314</v>
      </c>
      <c r="B1735" s="89" t="s">
        <v>2724</v>
      </c>
      <c r="C1735" s="102" t="s">
        <v>1103</v>
      </c>
    </row>
    <row r="1736" spans="1:3" ht="15">
      <c r="A1736" s="90" t="s">
        <v>314</v>
      </c>
      <c r="B1736" s="89" t="s">
        <v>3685</v>
      </c>
      <c r="C1736" s="102" t="s">
        <v>1103</v>
      </c>
    </row>
    <row r="1737" spans="1:3" ht="15">
      <c r="A1737" s="90" t="s">
        <v>314</v>
      </c>
      <c r="B1737" s="89" t="s">
        <v>3355</v>
      </c>
      <c r="C1737" s="102" t="s">
        <v>1103</v>
      </c>
    </row>
    <row r="1738" spans="1:3" ht="15">
      <c r="A1738" s="90" t="s">
        <v>314</v>
      </c>
      <c r="B1738" s="89" t="s">
        <v>2670</v>
      </c>
      <c r="C1738" s="102" t="s">
        <v>1103</v>
      </c>
    </row>
    <row r="1739" spans="1:3" ht="15">
      <c r="A1739" s="90" t="s">
        <v>314</v>
      </c>
      <c r="B1739" s="89" t="s">
        <v>2671</v>
      </c>
      <c r="C1739" s="102" t="s">
        <v>1103</v>
      </c>
    </row>
    <row r="1740" spans="1:3" ht="15">
      <c r="A1740" s="90" t="s">
        <v>314</v>
      </c>
      <c r="B1740" s="89" t="s">
        <v>2666</v>
      </c>
      <c r="C1740" s="102" t="s">
        <v>1103</v>
      </c>
    </row>
    <row r="1741" spans="1:3" ht="15">
      <c r="A1741" s="90" t="s">
        <v>314</v>
      </c>
      <c r="B1741" s="89" t="s">
        <v>2664</v>
      </c>
      <c r="C1741" s="102" t="s">
        <v>1103</v>
      </c>
    </row>
    <row r="1742" spans="1:3" ht="15">
      <c r="A1742" s="90" t="s">
        <v>314</v>
      </c>
      <c r="B1742" s="89" t="s">
        <v>2667</v>
      </c>
      <c r="C1742" s="102" t="s">
        <v>1103</v>
      </c>
    </row>
    <row r="1743" spans="1:3" ht="15">
      <c r="A1743" s="90" t="s">
        <v>314</v>
      </c>
      <c r="B1743" s="89" t="s">
        <v>2663</v>
      </c>
      <c r="C1743" s="102" t="s">
        <v>1103</v>
      </c>
    </row>
    <row r="1744" spans="1:3" ht="15">
      <c r="A1744" s="90" t="s">
        <v>314</v>
      </c>
      <c r="B1744" s="89" t="s">
        <v>3137</v>
      </c>
      <c r="C1744" s="102" t="s">
        <v>1103</v>
      </c>
    </row>
    <row r="1745" spans="1:3" ht="15">
      <c r="A1745" s="90" t="s">
        <v>314</v>
      </c>
      <c r="B1745" s="89" t="s">
        <v>712</v>
      </c>
      <c r="C1745" s="102" t="s">
        <v>1103</v>
      </c>
    </row>
    <row r="1746" spans="1:3" ht="15">
      <c r="A1746" s="90" t="s">
        <v>314</v>
      </c>
      <c r="B1746" s="89" t="s">
        <v>3356</v>
      </c>
      <c r="C1746" s="102" t="s">
        <v>1103</v>
      </c>
    </row>
    <row r="1747" spans="1:3" ht="15">
      <c r="A1747" s="90" t="s">
        <v>314</v>
      </c>
      <c r="B1747" s="89" t="s">
        <v>2668</v>
      </c>
      <c r="C1747" s="102" t="s">
        <v>1103</v>
      </c>
    </row>
    <row r="1748" spans="1:3" ht="15">
      <c r="A1748" s="90" t="s">
        <v>314</v>
      </c>
      <c r="B1748" s="89" t="s">
        <v>3357</v>
      </c>
      <c r="C1748" s="102" t="s">
        <v>1103</v>
      </c>
    </row>
    <row r="1749" spans="1:3" ht="15">
      <c r="A1749" s="90" t="s">
        <v>314</v>
      </c>
      <c r="B1749" s="89" t="s">
        <v>2672</v>
      </c>
      <c r="C1749" s="102" t="s">
        <v>1103</v>
      </c>
    </row>
    <row r="1750" spans="1:3" ht="15">
      <c r="A1750" s="90" t="s">
        <v>314</v>
      </c>
      <c r="B1750" s="89" t="s">
        <v>2665</v>
      </c>
      <c r="C1750" s="102" t="s">
        <v>1103</v>
      </c>
    </row>
    <row r="1751" spans="1:3" ht="15">
      <c r="A1751" s="90" t="s">
        <v>313</v>
      </c>
      <c r="B1751" s="89" t="s">
        <v>3246</v>
      </c>
      <c r="C1751" s="102" t="s">
        <v>1102</v>
      </c>
    </row>
    <row r="1752" spans="1:3" ht="15">
      <c r="A1752" s="90" t="s">
        <v>313</v>
      </c>
      <c r="B1752" s="89" t="s">
        <v>3245</v>
      </c>
      <c r="C1752" s="102" t="s">
        <v>1102</v>
      </c>
    </row>
    <row r="1753" spans="1:3" ht="15">
      <c r="A1753" s="90" t="s">
        <v>313</v>
      </c>
      <c r="B1753" s="89" t="s">
        <v>3247</v>
      </c>
      <c r="C1753" s="102" t="s">
        <v>1102</v>
      </c>
    </row>
    <row r="1754" spans="1:3" ht="15">
      <c r="A1754" s="90" t="s">
        <v>313</v>
      </c>
      <c r="B1754" s="89" t="s">
        <v>3800</v>
      </c>
      <c r="C1754" s="102" t="s">
        <v>1102</v>
      </c>
    </row>
    <row r="1755" spans="1:3" ht="15">
      <c r="A1755" s="90" t="s">
        <v>313</v>
      </c>
      <c r="B1755" s="89" t="s">
        <v>3155</v>
      </c>
      <c r="C1755" s="102" t="s">
        <v>1102</v>
      </c>
    </row>
    <row r="1756" spans="1:3" ht="15">
      <c r="A1756" s="90" t="s">
        <v>313</v>
      </c>
      <c r="B1756" s="89" t="s">
        <v>3801</v>
      </c>
      <c r="C1756" s="102" t="s">
        <v>1102</v>
      </c>
    </row>
    <row r="1757" spans="1:3" ht="15">
      <c r="A1757" s="90" t="s">
        <v>313</v>
      </c>
      <c r="B1757" s="89" t="s">
        <v>3802</v>
      </c>
      <c r="C1757" s="102" t="s">
        <v>1102</v>
      </c>
    </row>
    <row r="1758" spans="1:3" ht="15">
      <c r="A1758" s="90" t="s">
        <v>313</v>
      </c>
      <c r="B1758" s="89" t="s">
        <v>3803</v>
      </c>
      <c r="C1758" s="102" t="s">
        <v>1102</v>
      </c>
    </row>
    <row r="1759" spans="1:3" ht="15">
      <c r="A1759" s="90" t="s">
        <v>313</v>
      </c>
      <c r="B1759" s="89" t="s">
        <v>3804</v>
      </c>
      <c r="C1759" s="102" t="s">
        <v>1102</v>
      </c>
    </row>
    <row r="1760" spans="1:3" ht="15">
      <c r="A1760" s="90" t="s">
        <v>313</v>
      </c>
      <c r="B1760" s="89" t="s">
        <v>3805</v>
      </c>
      <c r="C1760" s="102" t="s">
        <v>1102</v>
      </c>
    </row>
    <row r="1761" spans="1:3" ht="15">
      <c r="A1761" s="90" t="s">
        <v>313</v>
      </c>
      <c r="B1761" s="89" t="s">
        <v>3806</v>
      </c>
      <c r="C1761" s="102" t="s">
        <v>1102</v>
      </c>
    </row>
    <row r="1762" spans="1:3" ht="15">
      <c r="A1762" s="90" t="s">
        <v>313</v>
      </c>
      <c r="B1762" s="89" t="s">
        <v>3807</v>
      </c>
      <c r="C1762" s="102" t="s">
        <v>1102</v>
      </c>
    </row>
    <row r="1763" spans="1:3" ht="15">
      <c r="A1763" s="90" t="s">
        <v>313</v>
      </c>
      <c r="B1763" s="89" t="s">
        <v>3137</v>
      </c>
      <c r="C1763" s="102" t="s">
        <v>1102</v>
      </c>
    </row>
    <row r="1764" spans="1:3" ht="15">
      <c r="A1764" s="90" t="s">
        <v>313</v>
      </c>
      <c r="B1764" s="89" t="s">
        <v>712</v>
      </c>
      <c r="C1764" s="102" t="s">
        <v>1102</v>
      </c>
    </row>
    <row r="1765" spans="1:3" ht="15">
      <c r="A1765" s="90" t="s">
        <v>313</v>
      </c>
      <c r="B1765" s="89" t="s">
        <v>3356</v>
      </c>
      <c r="C1765" s="102" t="s">
        <v>1102</v>
      </c>
    </row>
    <row r="1766" spans="1:3" ht="15">
      <c r="A1766" s="90" t="s">
        <v>313</v>
      </c>
      <c r="B1766" s="89" t="s">
        <v>3808</v>
      </c>
      <c r="C1766" s="102" t="s">
        <v>1102</v>
      </c>
    </row>
    <row r="1767" spans="1:3" ht="15">
      <c r="A1767" s="90" t="s">
        <v>313</v>
      </c>
      <c r="B1767" s="89" t="s">
        <v>3809</v>
      </c>
      <c r="C1767" s="102" t="s">
        <v>1102</v>
      </c>
    </row>
    <row r="1768" spans="1:3" ht="15">
      <c r="A1768" s="90" t="s">
        <v>313</v>
      </c>
      <c r="B1768" s="89" t="s">
        <v>2932</v>
      </c>
      <c r="C1768" s="102" t="s">
        <v>1102</v>
      </c>
    </row>
    <row r="1769" spans="1:3" ht="15">
      <c r="A1769" s="90" t="s">
        <v>313</v>
      </c>
      <c r="B1769" s="89" t="s">
        <v>3810</v>
      </c>
      <c r="C1769" s="102" t="s">
        <v>1102</v>
      </c>
    </row>
    <row r="1770" spans="1:3" ht="15">
      <c r="A1770" s="90" t="s">
        <v>313</v>
      </c>
      <c r="B1770" s="89" t="s">
        <v>3584</v>
      </c>
      <c r="C1770" s="102" t="s">
        <v>1102</v>
      </c>
    </row>
    <row r="1771" spans="1:3" ht="15">
      <c r="A1771" s="90" t="s">
        <v>313</v>
      </c>
      <c r="B1771" s="89" t="s">
        <v>3811</v>
      </c>
      <c r="C1771" s="102" t="s">
        <v>1102</v>
      </c>
    </row>
    <row r="1772" spans="1:3" ht="15">
      <c r="A1772" s="90" t="s">
        <v>313</v>
      </c>
      <c r="B1772" s="89" t="s">
        <v>2665</v>
      </c>
      <c r="C1772" s="102" t="s">
        <v>1102</v>
      </c>
    </row>
    <row r="1773" spans="1:3" ht="15">
      <c r="A1773" s="90" t="s">
        <v>313</v>
      </c>
      <c r="B1773" s="89" t="s">
        <v>3358</v>
      </c>
      <c r="C1773" s="102" t="s">
        <v>1102</v>
      </c>
    </row>
    <row r="1774" spans="1:3" ht="15">
      <c r="A1774" s="90" t="s">
        <v>313</v>
      </c>
      <c r="B1774" s="89" t="s">
        <v>3812</v>
      </c>
      <c r="C1774" s="102" t="s">
        <v>1102</v>
      </c>
    </row>
    <row r="1775" spans="1:3" ht="15">
      <c r="A1775" s="90" t="s">
        <v>313</v>
      </c>
      <c r="B1775" s="89" t="s">
        <v>3003</v>
      </c>
      <c r="C1775" s="102" t="s">
        <v>1102</v>
      </c>
    </row>
    <row r="1776" spans="1:3" ht="15">
      <c r="A1776" s="90" t="s">
        <v>313</v>
      </c>
      <c r="B1776" s="89" t="s">
        <v>3813</v>
      </c>
      <c r="C1776" s="102" t="s">
        <v>1102</v>
      </c>
    </row>
    <row r="1777" spans="1:3" ht="15">
      <c r="A1777" s="90" t="s">
        <v>313</v>
      </c>
      <c r="B1777" s="89" t="s">
        <v>3814</v>
      </c>
      <c r="C1777" s="102" t="s">
        <v>1102</v>
      </c>
    </row>
    <row r="1778" spans="1:3" ht="15">
      <c r="A1778" s="90" t="s">
        <v>313</v>
      </c>
      <c r="B1778" s="89" t="s">
        <v>3815</v>
      </c>
      <c r="C1778" s="102" t="s">
        <v>1102</v>
      </c>
    </row>
    <row r="1779" spans="1:3" ht="15">
      <c r="A1779" s="90" t="s">
        <v>313</v>
      </c>
      <c r="B1779" s="89" t="s">
        <v>3816</v>
      </c>
      <c r="C1779" s="102" t="s">
        <v>1102</v>
      </c>
    </row>
    <row r="1780" spans="1:3" ht="15">
      <c r="A1780" s="90" t="s">
        <v>313</v>
      </c>
      <c r="B1780" s="89" t="s">
        <v>3817</v>
      </c>
      <c r="C1780" s="102" t="s">
        <v>1102</v>
      </c>
    </row>
    <row r="1781" spans="1:3" ht="15">
      <c r="A1781" s="90" t="s">
        <v>313</v>
      </c>
      <c r="B1781" s="89" t="s">
        <v>3818</v>
      </c>
      <c r="C1781" s="102" t="s">
        <v>1102</v>
      </c>
    </row>
    <row r="1782" spans="1:3" ht="15">
      <c r="A1782" s="90" t="s">
        <v>313</v>
      </c>
      <c r="B1782" s="89" t="s">
        <v>3819</v>
      </c>
      <c r="C1782" s="102" t="s">
        <v>1102</v>
      </c>
    </row>
    <row r="1783" spans="1:3" ht="15">
      <c r="A1783" s="90" t="s">
        <v>313</v>
      </c>
      <c r="B1783" s="89" t="s">
        <v>3035</v>
      </c>
      <c r="C1783" s="102" t="s">
        <v>1102</v>
      </c>
    </row>
    <row r="1784" spans="1:3" ht="15">
      <c r="A1784" s="90" t="s">
        <v>312</v>
      </c>
      <c r="B1784" s="89" t="s">
        <v>3307</v>
      </c>
      <c r="C1784" s="102" t="s">
        <v>1101</v>
      </c>
    </row>
    <row r="1785" spans="1:3" ht="15">
      <c r="A1785" s="90" t="s">
        <v>312</v>
      </c>
      <c r="B1785" s="89" t="s">
        <v>3152</v>
      </c>
      <c r="C1785" s="102" t="s">
        <v>1101</v>
      </c>
    </row>
    <row r="1786" spans="1:3" ht="15">
      <c r="A1786" s="90" t="s">
        <v>312</v>
      </c>
      <c r="B1786" s="89" t="s">
        <v>3141</v>
      </c>
      <c r="C1786" s="102" t="s">
        <v>1101</v>
      </c>
    </row>
    <row r="1787" spans="1:3" ht="15">
      <c r="A1787" s="90" t="s">
        <v>312</v>
      </c>
      <c r="B1787" s="89" t="s">
        <v>2678</v>
      </c>
      <c r="C1787" s="102" t="s">
        <v>1101</v>
      </c>
    </row>
    <row r="1788" spans="1:3" ht="15">
      <c r="A1788" s="90" t="s">
        <v>312</v>
      </c>
      <c r="B1788" s="89" t="s">
        <v>2676</v>
      </c>
      <c r="C1788" s="102" t="s">
        <v>1101</v>
      </c>
    </row>
    <row r="1789" spans="1:3" ht="15">
      <c r="A1789" s="90" t="s">
        <v>312</v>
      </c>
      <c r="B1789" s="89" t="s">
        <v>3308</v>
      </c>
      <c r="C1789" s="102" t="s">
        <v>1101</v>
      </c>
    </row>
    <row r="1790" spans="1:3" ht="15">
      <c r="A1790" s="90" t="s">
        <v>312</v>
      </c>
      <c r="B1790" s="89" t="s">
        <v>3205</v>
      </c>
      <c r="C1790" s="102" t="s">
        <v>1101</v>
      </c>
    </row>
    <row r="1791" spans="1:3" ht="15">
      <c r="A1791" s="90" t="s">
        <v>312</v>
      </c>
      <c r="B1791" s="89" t="s">
        <v>3155</v>
      </c>
      <c r="C1791" s="102" t="s">
        <v>1101</v>
      </c>
    </row>
    <row r="1792" spans="1:3" ht="15">
      <c r="A1792" s="90" t="s">
        <v>312</v>
      </c>
      <c r="B1792" s="89" t="s">
        <v>3309</v>
      </c>
      <c r="C1792" s="102" t="s">
        <v>1101</v>
      </c>
    </row>
    <row r="1793" spans="1:3" ht="15">
      <c r="A1793" s="90" t="s">
        <v>312</v>
      </c>
      <c r="B1793" s="89" t="s">
        <v>2679</v>
      </c>
      <c r="C1793" s="102" t="s">
        <v>1101</v>
      </c>
    </row>
    <row r="1794" spans="1:3" ht="15">
      <c r="A1794" s="90" t="s">
        <v>312</v>
      </c>
      <c r="B1794" s="89" t="s">
        <v>712</v>
      </c>
      <c r="C1794" s="102" t="s">
        <v>1101</v>
      </c>
    </row>
    <row r="1795" spans="1:3" ht="15">
      <c r="A1795" s="90" t="s">
        <v>312</v>
      </c>
      <c r="B1795" s="89" t="s">
        <v>431</v>
      </c>
      <c r="C1795" s="102" t="s">
        <v>1101</v>
      </c>
    </row>
    <row r="1796" spans="1:3" ht="15">
      <c r="A1796" s="90" t="s">
        <v>312</v>
      </c>
      <c r="B1796" s="89" t="s">
        <v>3310</v>
      </c>
      <c r="C1796" s="102" t="s">
        <v>1101</v>
      </c>
    </row>
    <row r="1797" spans="1:3" ht="15">
      <c r="A1797" s="90" t="s">
        <v>311</v>
      </c>
      <c r="B1797" s="89" t="s">
        <v>3820</v>
      </c>
      <c r="C1797" s="102" t="s">
        <v>1100</v>
      </c>
    </row>
    <row r="1798" spans="1:3" ht="15">
      <c r="A1798" s="90" t="s">
        <v>311</v>
      </c>
      <c r="B1798" s="89" t="s">
        <v>3821</v>
      </c>
      <c r="C1798" s="102" t="s">
        <v>1100</v>
      </c>
    </row>
    <row r="1799" spans="1:3" ht="15">
      <c r="A1799" s="90" t="s">
        <v>311</v>
      </c>
      <c r="B1799" s="89" t="s">
        <v>3822</v>
      </c>
      <c r="C1799" s="102" t="s">
        <v>1100</v>
      </c>
    </row>
    <row r="1800" spans="1:3" ht="15">
      <c r="A1800" s="90" t="s">
        <v>311</v>
      </c>
      <c r="B1800" s="89" t="s">
        <v>2704</v>
      </c>
      <c r="C1800" s="102" t="s">
        <v>1100</v>
      </c>
    </row>
    <row r="1801" spans="1:3" ht="15">
      <c r="A1801" s="90" t="s">
        <v>311</v>
      </c>
      <c r="B1801" s="89" t="s">
        <v>3823</v>
      </c>
      <c r="C1801" s="102" t="s">
        <v>1100</v>
      </c>
    </row>
    <row r="1802" spans="1:3" ht="15">
      <c r="A1802" s="90" t="s">
        <v>311</v>
      </c>
      <c r="B1802" s="89" t="s">
        <v>712</v>
      </c>
      <c r="C1802" s="102" t="s">
        <v>1100</v>
      </c>
    </row>
    <row r="1803" spans="1:3" ht="15">
      <c r="A1803" s="90" t="s">
        <v>311</v>
      </c>
      <c r="B1803" s="89" t="s">
        <v>3375</v>
      </c>
      <c r="C1803" s="102" t="s">
        <v>1100</v>
      </c>
    </row>
    <row r="1804" spans="1:3" ht="15">
      <c r="A1804" s="90" t="s">
        <v>311</v>
      </c>
      <c r="B1804" s="89" t="s">
        <v>3824</v>
      </c>
      <c r="C1804" s="102" t="s">
        <v>1100</v>
      </c>
    </row>
    <row r="1805" spans="1:3" ht="15">
      <c r="A1805" s="90" t="s">
        <v>311</v>
      </c>
      <c r="B1805" s="89" t="s">
        <v>3825</v>
      </c>
      <c r="C1805" s="102" t="s">
        <v>1100</v>
      </c>
    </row>
    <row r="1806" spans="1:3" ht="15">
      <c r="A1806" s="90" t="s">
        <v>311</v>
      </c>
      <c r="B1806" s="89" t="s">
        <v>3826</v>
      </c>
      <c r="C1806" s="102" t="s">
        <v>1100</v>
      </c>
    </row>
    <row r="1807" spans="1:3" ht="15">
      <c r="A1807" s="90" t="s">
        <v>311</v>
      </c>
      <c r="B1807" s="89" t="s">
        <v>3827</v>
      </c>
      <c r="C1807" s="102" t="s">
        <v>1100</v>
      </c>
    </row>
    <row r="1808" spans="1:3" ht="15">
      <c r="A1808" s="90" t="s">
        <v>311</v>
      </c>
      <c r="B1808" s="89" t="s">
        <v>3137</v>
      </c>
      <c r="C1808" s="102" t="s">
        <v>1100</v>
      </c>
    </row>
    <row r="1809" spans="1:3" ht="15">
      <c r="A1809" s="90" t="s">
        <v>311</v>
      </c>
      <c r="B1809" s="89" t="s">
        <v>3828</v>
      </c>
      <c r="C1809" s="102" t="s">
        <v>1100</v>
      </c>
    </row>
    <row r="1810" spans="1:3" ht="15">
      <c r="A1810" s="90" t="s">
        <v>311</v>
      </c>
      <c r="B1810" s="89" t="s">
        <v>3829</v>
      </c>
      <c r="C1810" s="102" t="s">
        <v>1100</v>
      </c>
    </row>
    <row r="1811" spans="1:3" ht="15">
      <c r="A1811" s="90" t="s">
        <v>311</v>
      </c>
      <c r="B1811" s="89" t="s">
        <v>3192</v>
      </c>
      <c r="C1811" s="102" t="s">
        <v>1100</v>
      </c>
    </row>
    <row r="1812" spans="1:3" ht="15">
      <c r="A1812" s="90" t="s">
        <v>311</v>
      </c>
      <c r="B1812" s="89" t="s">
        <v>3141</v>
      </c>
      <c r="C1812" s="102" t="s">
        <v>1100</v>
      </c>
    </row>
    <row r="1813" spans="1:3" ht="15">
      <c r="A1813" s="90" t="s">
        <v>311</v>
      </c>
      <c r="B1813" s="89" t="s">
        <v>3593</v>
      </c>
      <c r="C1813" s="102" t="s">
        <v>1100</v>
      </c>
    </row>
    <row r="1814" spans="1:3" ht="15">
      <c r="A1814" s="90" t="s">
        <v>311</v>
      </c>
      <c r="B1814" s="89" t="s">
        <v>3830</v>
      </c>
      <c r="C1814" s="102" t="s">
        <v>1100</v>
      </c>
    </row>
    <row r="1815" spans="1:3" ht="15">
      <c r="A1815" s="90" t="s">
        <v>311</v>
      </c>
      <c r="B1815" s="89" t="s">
        <v>3831</v>
      </c>
      <c r="C1815" s="102" t="s">
        <v>1100</v>
      </c>
    </row>
    <row r="1816" spans="1:3" ht="15">
      <c r="A1816" s="90" t="s">
        <v>311</v>
      </c>
      <c r="B1816" s="89" t="s">
        <v>3832</v>
      </c>
      <c r="C1816" s="102" t="s">
        <v>1100</v>
      </c>
    </row>
    <row r="1817" spans="1:3" ht="15">
      <c r="A1817" s="90" t="s">
        <v>311</v>
      </c>
      <c r="B1817" s="89" t="s">
        <v>3833</v>
      </c>
      <c r="C1817" s="102" t="s">
        <v>1100</v>
      </c>
    </row>
    <row r="1818" spans="1:3" ht="15">
      <c r="A1818" s="90" t="s">
        <v>311</v>
      </c>
      <c r="B1818" s="89" t="s">
        <v>3834</v>
      </c>
      <c r="C1818" s="102" t="s">
        <v>1100</v>
      </c>
    </row>
    <row r="1819" spans="1:3" ht="15">
      <c r="A1819" s="90" t="s">
        <v>311</v>
      </c>
      <c r="B1819" s="89" t="s">
        <v>3835</v>
      </c>
      <c r="C1819" s="102" t="s">
        <v>1100</v>
      </c>
    </row>
    <row r="1820" spans="1:3" ht="15">
      <c r="A1820" s="90" t="s">
        <v>311</v>
      </c>
      <c r="B1820" s="89" t="s">
        <v>3836</v>
      </c>
      <c r="C1820" s="102" t="s">
        <v>1100</v>
      </c>
    </row>
    <row r="1821" spans="1:3" ht="15">
      <c r="A1821" s="90" t="s">
        <v>311</v>
      </c>
      <c r="B1821" s="89" t="s">
        <v>3837</v>
      </c>
      <c r="C1821" s="102" t="s">
        <v>1100</v>
      </c>
    </row>
    <row r="1822" spans="1:3" ht="15">
      <c r="A1822" s="90" t="s">
        <v>311</v>
      </c>
      <c r="B1822" s="89" t="s">
        <v>3838</v>
      </c>
      <c r="C1822" s="102" t="s">
        <v>1100</v>
      </c>
    </row>
    <row r="1823" spans="1:3" ht="15">
      <c r="A1823" s="90" t="s">
        <v>311</v>
      </c>
      <c r="B1823" s="89" t="s">
        <v>3839</v>
      </c>
      <c r="C1823" s="102" t="s">
        <v>1100</v>
      </c>
    </row>
    <row r="1824" spans="1:3" ht="15">
      <c r="A1824" s="90" t="s">
        <v>311</v>
      </c>
      <c r="B1824" s="89" t="s">
        <v>3840</v>
      </c>
      <c r="C1824" s="102" t="s">
        <v>1100</v>
      </c>
    </row>
    <row r="1825" spans="1:3" ht="15">
      <c r="A1825" s="90" t="s">
        <v>311</v>
      </c>
      <c r="B1825" s="89" t="s">
        <v>3841</v>
      </c>
      <c r="C1825" s="102" t="s">
        <v>1100</v>
      </c>
    </row>
    <row r="1826" spans="1:3" ht="15">
      <c r="A1826" s="90" t="s">
        <v>310</v>
      </c>
      <c r="B1826" s="89" t="s">
        <v>3246</v>
      </c>
      <c r="C1826" s="102" t="s">
        <v>1099</v>
      </c>
    </row>
    <row r="1827" spans="1:3" ht="15">
      <c r="A1827" s="90" t="s">
        <v>310</v>
      </c>
      <c r="B1827" s="89" t="s">
        <v>3245</v>
      </c>
      <c r="C1827" s="102" t="s">
        <v>1099</v>
      </c>
    </row>
    <row r="1828" spans="1:3" ht="15">
      <c r="A1828" s="90" t="s">
        <v>310</v>
      </c>
      <c r="B1828" s="89" t="s">
        <v>3247</v>
      </c>
      <c r="C1828" s="102" t="s">
        <v>1099</v>
      </c>
    </row>
    <row r="1829" spans="1:3" ht="15">
      <c r="A1829" s="90" t="s">
        <v>310</v>
      </c>
      <c r="B1829" s="89" t="s">
        <v>3204</v>
      </c>
      <c r="C1829" s="102" t="s">
        <v>1099</v>
      </c>
    </row>
    <row r="1830" spans="1:3" ht="15">
      <c r="A1830" s="90" t="s">
        <v>310</v>
      </c>
      <c r="B1830" s="89" t="s">
        <v>3155</v>
      </c>
      <c r="C1830" s="102" t="s">
        <v>1099</v>
      </c>
    </row>
    <row r="1831" spans="1:3" ht="15">
      <c r="A1831" s="90" t="s">
        <v>310</v>
      </c>
      <c r="B1831" s="89" t="s">
        <v>2706</v>
      </c>
      <c r="C1831" s="102" t="s">
        <v>1099</v>
      </c>
    </row>
    <row r="1832" spans="1:3" ht="15">
      <c r="A1832" s="90" t="s">
        <v>310</v>
      </c>
      <c r="B1832" s="89" t="s">
        <v>3004</v>
      </c>
      <c r="C1832" s="102" t="s">
        <v>1099</v>
      </c>
    </row>
    <row r="1833" spans="1:3" ht="15">
      <c r="A1833" s="90" t="s">
        <v>310</v>
      </c>
      <c r="B1833" s="89" t="s">
        <v>2845</v>
      </c>
      <c r="C1833" s="102" t="s">
        <v>1099</v>
      </c>
    </row>
    <row r="1834" spans="1:3" ht="15">
      <c r="A1834" s="90" t="s">
        <v>310</v>
      </c>
      <c r="B1834" s="89" t="s">
        <v>3842</v>
      </c>
      <c r="C1834" s="102" t="s">
        <v>1099</v>
      </c>
    </row>
    <row r="1835" spans="1:3" ht="15">
      <c r="A1835" s="90" t="s">
        <v>310</v>
      </c>
      <c r="B1835" s="89" t="s">
        <v>3843</v>
      </c>
      <c r="C1835" s="102" t="s">
        <v>1099</v>
      </c>
    </row>
    <row r="1836" spans="1:3" ht="15">
      <c r="A1836" s="90" t="s">
        <v>310</v>
      </c>
      <c r="B1836" s="89">
        <v>2</v>
      </c>
      <c r="C1836" s="102" t="s">
        <v>1099</v>
      </c>
    </row>
    <row r="1837" spans="1:3" ht="15">
      <c r="A1837" s="90" t="s">
        <v>310</v>
      </c>
      <c r="B1837" s="89" t="s">
        <v>3844</v>
      </c>
      <c r="C1837" s="102" t="s">
        <v>1099</v>
      </c>
    </row>
    <row r="1838" spans="1:3" ht="15">
      <c r="A1838" s="90" t="s">
        <v>310</v>
      </c>
      <c r="B1838" s="89" t="s">
        <v>2782</v>
      </c>
      <c r="C1838" s="102" t="s">
        <v>1099</v>
      </c>
    </row>
    <row r="1839" spans="1:3" ht="15">
      <c r="A1839" s="90" t="s">
        <v>310</v>
      </c>
      <c r="B1839" s="89" t="s">
        <v>3170</v>
      </c>
      <c r="C1839" s="102" t="s">
        <v>1099</v>
      </c>
    </row>
    <row r="1840" spans="1:3" ht="15">
      <c r="A1840" s="90" t="s">
        <v>310</v>
      </c>
      <c r="B1840" s="89" t="s">
        <v>3201</v>
      </c>
      <c r="C1840" s="102" t="s">
        <v>1099</v>
      </c>
    </row>
    <row r="1841" spans="1:3" ht="15">
      <c r="A1841" s="90" t="s">
        <v>310</v>
      </c>
      <c r="B1841" s="89" t="s">
        <v>3845</v>
      </c>
      <c r="C1841" s="102" t="s">
        <v>1099</v>
      </c>
    </row>
    <row r="1842" spans="1:3" ht="15">
      <c r="A1842" s="90" t="s">
        <v>310</v>
      </c>
      <c r="B1842" s="89" t="s">
        <v>2758</v>
      </c>
      <c r="C1842" s="102" t="s">
        <v>1099</v>
      </c>
    </row>
    <row r="1843" spans="1:3" ht="15">
      <c r="A1843" s="90" t="s">
        <v>310</v>
      </c>
      <c r="B1843" s="89" t="s">
        <v>2707</v>
      </c>
      <c r="C1843" s="102" t="s">
        <v>1099</v>
      </c>
    </row>
    <row r="1844" spans="1:3" ht="15">
      <c r="A1844" s="90" t="s">
        <v>310</v>
      </c>
      <c r="B1844" s="89" t="s">
        <v>3846</v>
      </c>
      <c r="C1844" s="102" t="s">
        <v>1099</v>
      </c>
    </row>
    <row r="1845" spans="1:3" ht="15">
      <c r="A1845" s="90" t="s">
        <v>310</v>
      </c>
      <c r="B1845" s="89" t="s">
        <v>3847</v>
      </c>
      <c r="C1845" s="102" t="s">
        <v>1099</v>
      </c>
    </row>
    <row r="1846" spans="1:3" ht="15">
      <c r="A1846" s="90" t="s">
        <v>310</v>
      </c>
      <c r="B1846" s="89" t="s">
        <v>3309</v>
      </c>
      <c r="C1846" s="102" t="s">
        <v>1099</v>
      </c>
    </row>
    <row r="1847" spans="1:3" ht="15">
      <c r="A1847" s="90" t="s">
        <v>310</v>
      </c>
      <c r="B1847" s="89" t="s">
        <v>3848</v>
      </c>
      <c r="C1847" s="102" t="s">
        <v>1099</v>
      </c>
    </row>
    <row r="1848" spans="1:3" ht="15">
      <c r="A1848" s="90" t="s">
        <v>310</v>
      </c>
      <c r="B1848" s="89" t="s">
        <v>3849</v>
      </c>
      <c r="C1848" s="102" t="s">
        <v>1099</v>
      </c>
    </row>
    <row r="1849" spans="1:3" ht="15">
      <c r="A1849" s="90" t="s">
        <v>310</v>
      </c>
      <c r="B1849" s="89" t="s">
        <v>3153</v>
      </c>
      <c r="C1849" s="102" t="s">
        <v>1099</v>
      </c>
    </row>
    <row r="1850" spans="1:3" ht="15">
      <c r="A1850" s="90" t="s">
        <v>310</v>
      </c>
      <c r="B1850" s="89" t="s">
        <v>2788</v>
      </c>
      <c r="C1850" s="102" t="s">
        <v>1099</v>
      </c>
    </row>
    <row r="1851" spans="1:3" ht="15">
      <c r="A1851" s="90" t="s">
        <v>310</v>
      </c>
      <c r="B1851" s="89" t="s">
        <v>3850</v>
      </c>
      <c r="C1851" s="102" t="s">
        <v>1099</v>
      </c>
    </row>
    <row r="1852" spans="1:3" ht="15">
      <c r="A1852" s="90" t="s">
        <v>310</v>
      </c>
      <c r="B1852" s="89" t="s">
        <v>3137</v>
      </c>
      <c r="C1852" s="102" t="s">
        <v>1099</v>
      </c>
    </row>
    <row r="1853" spans="1:3" ht="15">
      <c r="A1853" s="90" t="s">
        <v>310</v>
      </c>
      <c r="B1853" s="89" t="s">
        <v>3304</v>
      </c>
      <c r="C1853" s="102" t="s">
        <v>1099</v>
      </c>
    </row>
    <row r="1854" spans="1:3" ht="15">
      <c r="A1854" s="90" t="s">
        <v>310</v>
      </c>
      <c r="B1854" s="89" t="s">
        <v>3712</v>
      </c>
      <c r="C1854" s="102" t="s">
        <v>1099</v>
      </c>
    </row>
    <row r="1855" spans="1:3" ht="15">
      <c r="A1855" s="90" t="s">
        <v>310</v>
      </c>
      <c r="B1855" s="89" t="s">
        <v>3851</v>
      </c>
      <c r="C1855" s="102" t="s">
        <v>1099</v>
      </c>
    </row>
    <row r="1856" spans="1:3" ht="15">
      <c r="A1856" s="90" t="s">
        <v>310</v>
      </c>
      <c r="B1856" s="89" t="s">
        <v>3852</v>
      </c>
      <c r="C1856" s="102" t="s">
        <v>1099</v>
      </c>
    </row>
    <row r="1857" spans="1:3" ht="15">
      <c r="A1857" s="90" t="s">
        <v>310</v>
      </c>
      <c r="B1857" s="89" t="s">
        <v>3141</v>
      </c>
      <c r="C1857" s="102" t="s">
        <v>1099</v>
      </c>
    </row>
    <row r="1858" spans="1:3" ht="15">
      <c r="A1858" s="90" t="s">
        <v>310</v>
      </c>
      <c r="B1858" s="89" t="s">
        <v>3305</v>
      </c>
      <c r="C1858" s="102" t="s">
        <v>1099</v>
      </c>
    </row>
    <row r="1859" spans="1:3" ht="15">
      <c r="A1859" s="90" t="s">
        <v>310</v>
      </c>
      <c r="B1859" s="89" t="s">
        <v>3328</v>
      </c>
      <c r="C1859" s="102" t="s">
        <v>1099</v>
      </c>
    </row>
    <row r="1860" spans="1:3" ht="15">
      <c r="A1860" s="90" t="s">
        <v>310</v>
      </c>
      <c r="B1860" s="89" t="s">
        <v>3181</v>
      </c>
      <c r="C1860" s="102" t="s">
        <v>1099</v>
      </c>
    </row>
    <row r="1861" spans="1:3" ht="15">
      <c r="A1861" s="90" t="s">
        <v>310</v>
      </c>
      <c r="B1861" s="89" t="s">
        <v>3853</v>
      </c>
      <c r="C1861" s="102" t="s">
        <v>1099</v>
      </c>
    </row>
    <row r="1862" spans="1:3" ht="15">
      <c r="A1862" s="90" t="s">
        <v>310</v>
      </c>
      <c r="B1862" s="89" t="s">
        <v>3854</v>
      </c>
      <c r="C1862" s="102" t="s">
        <v>1099</v>
      </c>
    </row>
    <row r="1863" spans="1:3" ht="15">
      <c r="A1863" s="90" t="s">
        <v>309</v>
      </c>
      <c r="B1863" s="89" t="s">
        <v>3855</v>
      </c>
      <c r="C1863" s="102" t="s">
        <v>1098</v>
      </c>
    </row>
    <row r="1864" spans="1:3" ht="15">
      <c r="A1864" s="90" t="s">
        <v>309</v>
      </c>
      <c r="B1864" s="89" t="s">
        <v>3204</v>
      </c>
      <c r="C1864" s="102" t="s">
        <v>1098</v>
      </c>
    </row>
    <row r="1865" spans="1:3" ht="15">
      <c r="A1865" s="90" t="s">
        <v>309</v>
      </c>
      <c r="B1865" s="89" t="s">
        <v>2789</v>
      </c>
      <c r="C1865" s="102" t="s">
        <v>1098</v>
      </c>
    </row>
    <row r="1866" spans="1:3" ht="15">
      <c r="A1866" s="90" t="s">
        <v>309</v>
      </c>
      <c r="B1866" s="89" t="s">
        <v>3005</v>
      </c>
      <c r="C1866" s="102" t="s">
        <v>1098</v>
      </c>
    </row>
    <row r="1867" spans="1:3" ht="15">
      <c r="A1867" s="90" t="s">
        <v>309</v>
      </c>
      <c r="B1867" s="89" t="s">
        <v>3783</v>
      </c>
      <c r="C1867" s="102" t="s">
        <v>1098</v>
      </c>
    </row>
    <row r="1868" spans="1:3" ht="15">
      <c r="A1868" s="90" t="s">
        <v>309</v>
      </c>
      <c r="B1868" s="89" t="s">
        <v>3006</v>
      </c>
      <c r="C1868" s="102" t="s">
        <v>1098</v>
      </c>
    </row>
    <row r="1869" spans="1:3" ht="15">
      <c r="A1869" s="90" t="s">
        <v>308</v>
      </c>
      <c r="B1869" s="89" t="s">
        <v>3311</v>
      </c>
      <c r="C1869" s="102" t="s">
        <v>1097</v>
      </c>
    </row>
    <row r="1870" spans="1:3" ht="15">
      <c r="A1870" s="90" t="s">
        <v>308</v>
      </c>
      <c r="B1870" s="89" t="s">
        <v>3312</v>
      </c>
      <c r="C1870" s="102" t="s">
        <v>1097</v>
      </c>
    </row>
    <row r="1871" spans="1:3" ht="15">
      <c r="A1871" s="90" t="s">
        <v>308</v>
      </c>
      <c r="B1871" s="89" t="s">
        <v>2687</v>
      </c>
      <c r="C1871" s="102" t="s">
        <v>1097</v>
      </c>
    </row>
    <row r="1872" spans="1:3" ht="15">
      <c r="A1872" s="90" t="s">
        <v>308</v>
      </c>
      <c r="B1872" s="89" t="s">
        <v>2688</v>
      </c>
      <c r="C1872" s="102" t="s">
        <v>1097</v>
      </c>
    </row>
    <row r="1873" spans="1:3" ht="15">
      <c r="A1873" s="90" t="s">
        <v>308</v>
      </c>
      <c r="B1873" s="89" t="s">
        <v>2689</v>
      </c>
      <c r="C1873" s="102" t="s">
        <v>1097</v>
      </c>
    </row>
    <row r="1874" spans="1:3" ht="15">
      <c r="A1874" s="90" t="s">
        <v>308</v>
      </c>
      <c r="B1874" s="89" t="s">
        <v>2690</v>
      </c>
      <c r="C1874" s="102" t="s">
        <v>1097</v>
      </c>
    </row>
    <row r="1875" spans="1:3" ht="15">
      <c r="A1875" s="90" t="s">
        <v>308</v>
      </c>
      <c r="B1875" s="89" t="s">
        <v>2691</v>
      </c>
      <c r="C1875" s="102" t="s">
        <v>1097</v>
      </c>
    </row>
    <row r="1876" spans="1:3" ht="15">
      <c r="A1876" s="90" t="s">
        <v>308</v>
      </c>
      <c r="B1876" s="89" t="s">
        <v>2692</v>
      </c>
      <c r="C1876" s="102" t="s">
        <v>1097</v>
      </c>
    </row>
    <row r="1877" spans="1:3" ht="15">
      <c r="A1877" s="90" t="s">
        <v>308</v>
      </c>
      <c r="B1877" s="89" t="s">
        <v>2693</v>
      </c>
      <c r="C1877" s="102" t="s">
        <v>1097</v>
      </c>
    </row>
    <row r="1878" spans="1:3" ht="15">
      <c r="A1878" s="90" t="s">
        <v>308</v>
      </c>
      <c r="B1878" s="89" t="s">
        <v>3313</v>
      </c>
      <c r="C1878" s="102" t="s">
        <v>1097</v>
      </c>
    </row>
    <row r="1879" spans="1:3" ht="15">
      <c r="A1879" s="90" t="s">
        <v>308</v>
      </c>
      <c r="B1879" s="89" t="s">
        <v>2694</v>
      </c>
      <c r="C1879" s="102" t="s">
        <v>1097</v>
      </c>
    </row>
    <row r="1880" spans="1:3" ht="15">
      <c r="A1880" s="90" t="s">
        <v>308</v>
      </c>
      <c r="B1880" s="89" t="s">
        <v>3137</v>
      </c>
      <c r="C1880" s="102" t="s">
        <v>1097</v>
      </c>
    </row>
    <row r="1881" spans="1:3" ht="15">
      <c r="A1881" s="90" t="s">
        <v>308</v>
      </c>
      <c r="B1881" s="89" t="s">
        <v>2695</v>
      </c>
      <c r="C1881" s="102" t="s">
        <v>1097</v>
      </c>
    </row>
    <row r="1882" spans="1:3" ht="15">
      <c r="A1882" s="90" t="s">
        <v>308</v>
      </c>
      <c r="B1882" s="89" t="s">
        <v>2696</v>
      </c>
      <c r="C1882" s="102" t="s">
        <v>1097</v>
      </c>
    </row>
    <row r="1883" spans="1:3" ht="15">
      <c r="A1883" s="90" t="s">
        <v>308</v>
      </c>
      <c r="B1883" s="89" t="s">
        <v>3314</v>
      </c>
      <c r="C1883" s="102" t="s">
        <v>1097</v>
      </c>
    </row>
    <row r="1884" spans="1:3" ht="15">
      <c r="A1884" s="90" t="s">
        <v>308</v>
      </c>
      <c r="B1884" s="89" t="s">
        <v>712</v>
      </c>
      <c r="C1884" s="102" t="s">
        <v>1097</v>
      </c>
    </row>
    <row r="1885" spans="1:3" ht="15">
      <c r="A1885" s="90" t="s">
        <v>308</v>
      </c>
      <c r="B1885" s="89" t="s">
        <v>3315</v>
      </c>
      <c r="C1885" s="102" t="s">
        <v>1097</v>
      </c>
    </row>
    <row r="1886" spans="1:3" ht="15">
      <c r="A1886" s="90" t="s">
        <v>308</v>
      </c>
      <c r="B1886" s="89" t="s">
        <v>2699</v>
      </c>
      <c r="C1886" s="102" t="s">
        <v>1097</v>
      </c>
    </row>
    <row r="1887" spans="1:3" ht="15">
      <c r="A1887" s="90" t="s">
        <v>308</v>
      </c>
      <c r="B1887" s="89" t="s">
        <v>2700</v>
      </c>
      <c r="C1887" s="102" t="s">
        <v>1097</v>
      </c>
    </row>
    <row r="1888" spans="1:3" ht="15">
      <c r="A1888" s="90" t="s">
        <v>308</v>
      </c>
      <c r="B1888" s="89" t="s">
        <v>2701</v>
      </c>
      <c r="C1888" s="102" t="s">
        <v>1097</v>
      </c>
    </row>
    <row r="1889" spans="1:3" ht="15">
      <c r="A1889" s="90" t="s">
        <v>308</v>
      </c>
      <c r="B1889" s="89" t="s">
        <v>3316</v>
      </c>
      <c r="C1889" s="102" t="s">
        <v>1097</v>
      </c>
    </row>
    <row r="1890" spans="1:3" ht="15">
      <c r="A1890" s="90" t="s">
        <v>308</v>
      </c>
      <c r="B1890" s="89" t="s">
        <v>2680</v>
      </c>
      <c r="C1890" s="102" t="s">
        <v>1097</v>
      </c>
    </row>
    <row r="1891" spans="1:3" ht="15">
      <c r="A1891" s="90" t="s">
        <v>308</v>
      </c>
      <c r="B1891" s="89" t="s">
        <v>2702</v>
      </c>
      <c r="C1891" s="102" t="s">
        <v>1097</v>
      </c>
    </row>
    <row r="1892" spans="1:3" ht="15">
      <c r="A1892" s="90" t="s">
        <v>308</v>
      </c>
      <c r="B1892" s="89" t="s">
        <v>2703</v>
      </c>
      <c r="C1892" s="102" t="s">
        <v>1097</v>
      </c>
    </row>
    <row r="1893" spans="1:3" ht="15">
      <c r="A1893" s="90" t="s">
        <v>308</v>
      </c>
      <c r="B1893" s="89" t="s">
        <v>3317</v>
      </c>
      <c r="C1893" s="102" t="s">
        <v>1097</v>
      </c>
    </row>
    <row r="1894" spans="1:3" ht="15">
      <c r="A1894" s="90" t="s">
        <v>308</v>
      </c>
      <c r="B1894" s="89" t="s">
        <v>3318</v>
      </c>
      <c r="C1894" s="102" t="s">
        <v>1097</v>
      </c>
    </row>
    <row r="1895" spans="1:3" ht="15">
      <c r="A1895" s="90" t="s">
        <v>308</v>
      </c>
      <c r="B1895" s="89" t="s">
        <v>226</v>
      </c>
      <c r="C1895" s="102" t="s">
        <v>1097</v>
      </c>
    </row>
    <row r="1896" spans="1:3" ht="15">
      <c r="A1896" s="90" t="s">
        <v>372</v>
      </c>
      <c r="B1896" s="89" t="s">
        <v>3245</v>
      </c>
      <c r="C1896" s="102" t="s">
        <v>1209</v>
      </c>
    </row>
    <row r="1897" spans="1:3" ht="15">
      <c r="A1897" s="90" t="s">
        <v>372</v>
      </c>
      <c r="B1897" s="89" t="s">
        <v>3247</v>
      </c>
      <c r="C1897" s="102" t="s">
        <v>1209</v>
      </c>
    </row>
    <row r="1898" spans="1:3" ht="15">
      <c r="A1898" s="90" t="s">
        <v>372</v>
      </c>
      <c r="B1898" s="89" t="s">
        <v>3629</v>
      </c>
      <c r="C1898" s="102" t="s">
        <v>1209</v>
      </c>
    </row>
    <row r="1899" spans="1:3" ht="15">
      <c r="A1899" s="90" t="s">
        <v>372</v>
      </c>
      <c r="B1899" s="89" t="s">
        <v>2664</v>
      </c>
      <c r="C1899" s="102" t="s">
        <v>1209</v>
      </c>
    </row>
    <row r="1900" spans="1:3" ht="15">
      <c r="A1900" s="90" t="s">
        <v>372</v>
      </c>
      <c r="B1900" s="89" t="s">
        <v>3346</v>
      </c>
      <c r="C1900" s="102" t="s">
        <v>1209</v>
      </c>
    </row>
    <row r="1901" spans="1:3" ht="15">
      <c r="A1901" s="90" t="s">
        <v>372</v>
      </c>
      <c r="B1901" s="89" t="s">
        <v>2853</v>
      </c>
      <c r="C1901" s="102" t="s">
        <v>1209</v>
      </c>
    </row>
    <row r="1902" spans="1:3" ht="15">
      <c r="A1902" s="90" t="s">
        <v>372</v>
      </c>
      <c r="B1902" s="89" t="s">
        <v>2854</v>
      </c>
      <c r="C1902" s="102" t="s">
        <v>1209</v>
      </c>
    </row>
    <row r="1903" spans="1:3" ht="15">
      <c r="A1903" s="90" t="s">
        <v>372</v>
      </c>
      <c r="B1903" s="89" t="s">
        <v>2783</v>
      </c>
      <c r="C1903" s="102" t="s">
        <v>1209</v>
      </c>
    </row>
    <row r="1904" spans="1:3" ht="15">
      <c r="A1904" s="90" t="s">
        <v>372</v>
      </c>
      <c r="B1904" s="89" t="s">
        <v>2855</v>
      </c>
      <c r="C1904" s="102" t="s">
        <v>1209</v>
      </c>
    </row>
    <row r="1905" spans="1:3" ht="15">
      <c r="A1905" s="90" t="s">
        <v>372</v>
      </c>
      <c r="B1905" s="89" t="s">
        <v>3211</v>
      </c>
      <c r="C1905" s="102" t="s">
        <v>1209</v>
      </c>
    </row>
    <row r="1906" spans="1:3" ht="15">
      <c r="A1906" s="90" t="s">
        <v>372</v>
      </c>
      <c r="B1906" s="89" t="s">
        <v>2856</v>
      </c>
      <c r="C1906" s="102" t="s">
        <v>1209</v>
      </c>
    </row>
    <row r="1907" spans="1:3" ht="15">
      <c r="A1907" s="90" t="s">
        <v>372</v>
      </c>
      <c r="B1907" s="89" t="s">
        <v>2857</v>
      </c>
      <c r="C1907" s="102" t="s">
        <v>1209</v>
      </c>
    </row>
    <row r="1908" spans="1:3" ht="15">
      <c r="A1908" s="90" t="s">
        <v>372</v>
      </c>
      <c r="B1908" s="89" t="s">
        <v>3204</v>
      </c>
      <c r="C1908" s="102" t="s">
        <v>1209</v>
      </c>
    </row>
    <row r="1909" spans="1:3" ht="15">
      <c r="A1909" s="90" t="s">
        <v>372</v>
      </c>
      <c r="B1909" s="89" t="s">
        <v>3141</v>
      </c>
      <c r="C1909" s="102" t="s">
        <v>1209</v>
      </c>
    </row>
    <row r="1910" spans="1:3" ht="15">
      <c r="A1910" s="90" t="s">
        <v>372</v>
      </c>
      <c r="B1910" s="89" t="s">
        <v>3630</v>
      </c>
      <c r="C1910" s="102" t="s">
        <v>1209</v>
      </c>
    </row>
    <row r="1911" spans="1:3" ht="15">
      <c r="A1911" s="90" t="s">
        <v>372</v>
      </c>
      <c r="B1911" s="89" t="s">
        <v>3631</v>
      </c>
      <c r="C1911" s="102" t="s">
        <v>1209</v>
      </c>
    </row>
    <row r="1912" spans="1:3" ht="15">
      <c r="A1912" s="90" t="s">
        <v>372</v>
      </c>
      <c r="B1912" s="89" t="s">
        <v>3137</v>
      </c>
      <c r="C1912" s="102" t="s">
        <v>1209</v>
      </c>
    </row>
    <row r="1913" spans="1:3" ht="15">
      <c r="A1913" s="90" t="s">
        <v>372</v>
      </c>
      <c r="B1913" s="89" t="s">
        <v>3192</v>
      </c>
      <c r="C1913" s="102" t="s">
        <v>1209</v>
      </c>
    </row>
    <row r="1914" spans="1:3" ht="15">
      <c r="A1914" s="90" t="s">
        <v>372</v>
      </c>
      <c r="B1914" s="89" t="s">
        <v>2710</v>
      </c>
      <c r="C1914" s="102" t="s">
        <v>1209</v>
      </c>
    </row>
    <row r="1915" spans="1:3" ht="15">
      <c r="A1915" s="90" t="s">
        <v>372</v>
      </c>
      <c r="B1915" s="89" t="s">
        <v>3632</v>
      </c>
      <c r="C1915" s="102" t="s">
        <v>1209</v>
      </c>
    </row>
    <row r="1916" spans="1:3" ht="15">
      <c r="A1916" s="90" t="s">
        <v>372</v>
      </c>
      <c r="B1916" s="89" t="s">
        <v>3633</v>
      </c>
      <c r="C1916" s="102" t="s">
        <v>1209</v>
      </c>
    </row>
    <row r="1917" spans="1:3" ht="15">
      <c r="A1917" s="90" t="s">
        <v>372</v>
      </c>
      <c r="B1917" s="89" t="s">
        <v>2751</v>
      </c>
      <c r="C1917" s="102" t="s">
        <v>1209</v>
      </c>
    </row>
    <row r="1918" spans="1:3" ht="15">
      <c r="A1918" s="90" t="s">
        <v>372</v>
      </c>
      <c r="B1918" s="89" t="s">
        <v>3173</v>
      </c>
      <c r="C1918" s="102" t="s">
        <v>1209</v>
      </c>
    </row>
    <row r="1919" spans="1:3" ht="15">
      <c r="A1919" s="90" t="s">
        <v>372</v>
      </c>
      <c r="B1919" s="89" t="s">
        <v>2858</v>
      </c>
      <c r="C1919" s="102" t="s">
        <v>1209</v>
      </c>
    </row>
    <row r="1920" spans="1:3" ht="15">
      <c r="A1920" s="90" t="s">
        <v>372</v>
      </c>
      <c r="B1920" s="89" t="s">
        <v>3165</v>
      </c>
      <c r="C1920" s="102" t="s">
        <v>1209</v>
      </c>
    </row>
    <row r="1921" spans="1:3" ht="15">
      <c r="A1921" s="90" t="s">
        <v>372</v>
      </c>
      <c r="B1921" s="89" t="s">
        <v>2707</v>
      </c>
      <c r="C1921" s="102" t="s">
        <v>1209</v>
      </c>
    </row>
    <row r="1922" spans="1:3" ht="15">
      <c r="A1922" s="90" t="s">
        <v>372</v>
      </c>
      <c r="B1922" s="89" t="s">
        <v>2859</v>
      </c>
      <c r="C1922" s="102" t="s">
        <v>1209</v>
      </c>
    </row>
    <row r="1923" spans="1:3" ht="15">
      <c r="A1923" s="90" t="s">
        <v>372</v>
      </c>
      <c r="B1923" s="89" t="s">
        <v>3582</v>
      </c>
      <c r="C1923" s="102" t="s">
        <v>1209</v>
      </c>
    </row>
    <row r="1924" spans="1:3" ht="15">
      <c r="A1924" s="90" t="s">
        <v>372</v>
      </c>
      <c r="B1924" s="89" t="s">
        <v>2730</v>
      </c>
      <c r="C1924" s="102" t="s">
        <v>1209</v>
      </c>
    </row>
    <row r="1925" spans="1:3" ht="15">
      <c r="A1925" s="90" t="s">
        <v>372</v>
      </c>
      <c r="B1925" s="89" t="s">
        <v>2860</v>
      </c>
      <c r="C1925" s="102" t="s">
        <v>1209</v>
      </c>
    </row>
    <row r="1926" spans="1:3" ht="15">
      <c r="A1926" s="90" t="s">
        <v>372</v>
      </c>
      <c r="B1926" s="89" t="s">
        <v>2861</v>
      </c>
      <c r="C1926" s="102" t="s">
        <v>1209</v>
      </c>
    </row>
    <row r="1927" spans="1:3" ht="15">
      <c r="A1927" s="90" t="s">
        <v>372</v>
      </c>
      <c r="B1927" s="89" t="s">
        <v>3563</v>
      </c>
      <c r="C1927" s="102" t="s">
        <v>1209</v>
      </c>
    </row>
    <row r="1928" spans="1:3" ht="15">
      <c r="A1928" s="90" t="s">
        <v>372</v>
      </c>
      <c r="B1928" s="89" t="s">
        <v>2862</v>
      </c>
      <c r="C1928" s="102" t="s">
        <v>1209</v>
      </c>
    </row>
    <row r="1929" spans="1:3" ht="15">
      <c r="A1929" s="90" t="s">
        <v>372</v>
      </c>
      <c r="B1929" s="89" t="s">
        <v>2863</v>
      </c>
      <c r="C1929" s="102" t="s">
        <v>1209</v>
      </c>
    </row>
    <row r="1930" spans="1:3" ht="15">
      <c r="A1930" s="90" t="s">
        <v>372</v>
      </c>
      <c r="B1930" s="89" t="s">
        <v>2784</v>
      </c>
      <c r="C1930" s="102" t="s">
        <v>1209</v>
      </c>
    </row>
    <row r="1931" spans="1:3" ht="15">
      <c r="A1931" s="90" t="s">
        <v>372</v>
      </c>
      <c r="B1931" s="89" t="s">
        <v>2864</v>
      </c>
      <c r="C1931" s="102" t="s">
        <v>1209</v>
      </c>
    </row>
    <row r="1932" spans="1:3" ht="15">
      <c r="A1932" s="90" t="s">
        <v>306</v>
      </c>
      <c r="B1932" s="89" t="s">
        <v>3245</v>
      </c>
      <c r="C1932" s="102" t="s">
        <v>1095</v>
      </c>
    </row>
    <row r="1933" spans="1:3" ht="15">
      <c r="A1933" s="90" t="s">
        <v>306</v>
      </c>
      <c r="B1933" s="89" t="s">
        <v>3246</v>
      </c>
      <c r="C1933" s="102" t="s">
        <v>1095</v>
      </c>
    </row>
    <row r="1934" spans="1:3" ht="15">
      <c r="A1934" s="90" t="s">
        <v>306</v>
      </c>
      <c r="B1934" s="89" t="s">
        <v>3247</v>
      </c>
      <c r="C1934" s="102" t="s">
        <v>1095</v>
      </c>
    </row>
    <row r="1935" spans="1:3" ht="15">
      <c r="A1935" s="90" t="s">
        <v>306</v>
      </c>
      <c r="B1935" s="89" t="s">
        <v>3856</v>
      </c>
      <c r="C1935" s="102" t="s">
        <v>1095</v>
      </c>
    </row>
    <row r="1936" spans="1:3" ht="15">
      <c r="A1936" s="90" t="s">
        <v>306</v>
      </c>
      <c r="B1936" s="89" t="s">
        <v>3857</v>
      </c>
      <c r="C1936" s="102" t="s">
        <v>1095</v>
      </c>
    </row>
    <row r="1937" spans="1:3" ht="15">
      <c r="A1937" s="90" t="s">
        <v>306</v>
      </c>
      <c r="B1937" s="89" t="s">
        <v>2708</v>
      </c>
      <c r="C1937" s="102" t="s">
        <v>1095</v>
      </c>
    </row>
    <row r="1938" spans="1:3" ht="15">
      <c r="A1938" s="90" t="s">
        <v>306</v>
      </c>
      <c r="B1938" s="89" t="s">
        <v>712</v>
      </c>
      <c r="C1938" s="102" t="s">
        <v>1095</v>
      </c>
    </row>
    <row r="1939" spans="1:3" ht="15">
      <c r="A1939" s="90" t="s">
        <v>306</v>
      </c>
      <c r="B1939" s="89" t="s">
        <v>3137</v>
      </c>
      <c r="C1939" s="102" t="s">
        <v>1095</v>
      </c>
    </row>
    <row r="1940" spans="1:3" ht="15">
      <c r="A1940" s="90" t="s">
        <v>306</v>
      </c>
      <c r="B1940" s="89" t="s">
        <v>3858</v>
      </c>
      <c r="C1940" s="102" t="s">
        <v>1095</v>
      </c>
    </row>
    <row r="1941" spans="1:3" ht="15">
      <c r="A1941" s="90" t="s">
        <v>306</v>
      </c>
      <c r="B1941" s="89" t="s">
        <v>3245</v>
      </c>
      <c r="C1941" s="102" t="s">
        <v>1094</v>
      </c>
    </row>
    <row r="1942" spans="1:3" ht="15">
      <c r="A1942" s="90" t="s">
        <v>306</v>
      </c>
      <c r="B1942" s="89" t="s">
        <v>3246</v>
      </c>
      <c r="C1942" s="102" t="s">
        <v>1094</v>
      </c>
    </row>
    <row r="1943" spans="1:3" ht="15">
      <c r="A1943" s="90" t="s">
        <v>306</v>
      </c>
      <c r="B1943" s="89" t="s">
        <v>3247</v>
      </c>
      <c r="C1943" s="102" t="s">
        <v>1094</v>
      </c>
    </row>
    <row r="1944" spans="1:3" ht="15">
      <c r="A1944" s="90" t="s">
        <v>306</v>
      </c>
      <c r="B1944" s="89" t="s">
        <v>3204</v>
      </c>
      <c r="C1944" s="102" t="s">
        <v>1094</v>
      </c>
    </row>
    <row r="1945" spans="1:3" ht="15">
      <c r="A1945" s="90" t="s">
        <v>306</v>
      </c>
      <c r="B1945" s="89" t="s">
        <v>3141</v>
      </c>
      <c r="C1945" s="102" t="s">
        <v>1094</v>
      </c>
    </row>
    <row r="1946" spans="1:3" ht="15">
      <c r="A1946" s="90" t="s">
        <v>306</v>
      </c>
      <c r="B1946" s="89" t="s">
        <v>2942</v>
      </c>
      <c r="C1946" s="102" t="s">
        <v>1094</v>
      </c>
    </row>
    <row r="1947" spans="1:3" ht="15">
      <c r="A1947" s="90" t="s">
        <v>306</v>
      </c>
      <c r="B1947" s="89" t="s">
        <v>3859</v>
      </c>
      <c r="C1947" s="102" t="s">
        <v>1094</v>
      </c>
    </row>
    <row r="1948" spans="1:3" ht="15">
      <c r="A1948" s="90" t="s">
        <v>306</v>
      </c>
      <c r="B1948" s="89" t="s">
        <v>3860</v>
      </c>
      <c r="C1948" s="102" t="s">
        <v>1094</v>
      </c>
    </row>
    <row r="1949" spans="1:3" ht="15">
      <c r="A1949" s="90" t="s">
        <v>306</v>
      </c>
      <c r="B1949" s="89" t="s">
        <v>3861</v>
      </c>
      <c r="C1949" s="102" t="s">
        <v>1094</v>
      </c>
    </row>
    <row r="1950" spans="1:3" ht="15">
      <c r="A1950" s="90" t="s">
        <v>306</v>
      </c>
      <c r="B1950" s="89" t="s">
        <v>3862</v>
      </c>
      <c r="C1950" s="102" t="s">
        <v>1094</v>
      </c>
    </row>
    <row r="1951" spans="1:3" ht="15">
      <c r="A1951" s="90" t="s">
        <v>305</v>
      </c>
      <c r="B1951" s="89" t="s">
        <v>468</v>
      </c>
      <c r="C1951" s="102" t="s">
        <v>1090</v>
      </c>
    </row>
    <row r="1952" spans="1:3" ht="15">
      <c r="A1952" s="90" t="s">
        <v>305</v>
      </c>
      <c r="B1952" s="89" t="s">
        <v>1637</v>
      </c>
      <c r="C1952" s="102" t="s">
        <v>1090</v>
      </c>
    </row>
    <row r="1953" spans="1:3" ht="15">
      <c r="A1953" s="90" t="s">
        <v>305</v>
      </c>
      <c r="B1953" s="89" t="s">
        <v>331</v>
      </c>
      <c r="C1953" s="102" t="s">
        <v>1090</v>
      </c>
    </row>
    <row r="1954" spans="1:3" ht="15">
      <c r="A1954" s="90" t="s">
        <v>305</v>
      </c>
      <c r="B1954" s="89" t="s">
        <v>3245</v>
      </c>
      <c r="C1954" s="102" t="s">
        <v>1090</v>
      </c>
    </row>
    <row r="1955" spans="1:3" ht="15">
      <c r="A1955" s="90" t="s">
        <v>305</v>
      </c>
      <c r="B1955" s="89" t="s">
        <v>465</v>
      </c>
      <c r="C1955" s="102" t="s">
        <v>1090</v>
      </c>
    </row>
    <row r="1956" spans="1:3" ht="15">
      <c r="A1956" s="90" t="s">
        <v>305</v>
      </c>
      <c r="B1956" s="89" t="s">
        <v>3247</v>
      </c>
      <c r="C1956" s="102" t="s">
        <v>1090</v>
      </c>
    </row>
    <row r="1957" spans="1:3" ht="15">
      <c r="A1957" s="90" t="s">
        <v>305</v>
      </c>
      <c r="B1957" s="89" t="s">
        <v>3204</v>
      </c>
      <c r="C1957" s="102" t="s">
        <v>1090</v>
      </c>
    </row>
    <row r="1958" spans="1:3" ht="15">
      <c r="A1958" s="90" t="s">
        <v>305</v>
      </c>
      <c r="B1958" s="89" t="s">
        <v>2713</v>
      </c>
      <c r="C1958" s="102" t="s">
        <v>1090</v>
      </c>
    </row>
    <row r="1959" spans="1:3" ht="15">
      <c r="A1959" s="90" t="s">
        <v>305</v>
      </c>
      <c r="B1959" s="89" t="s">
        <v>3863</v>
      </c>
      <c r="C1959" s="102" t="s">
        <v>1090</v>
      </c>
    </row>
    <row r="1960" spans="1:3" ht="15">
      <c r="A1960" s="90" t="s">
        <v>305</v>
      </c>
      <c r="B1960" s="89" t="s">
        <v>3864</v>
      </c>
      <c r="C1960" s="102" t="s">
        <v>1090</v>
      </c>
    </row>
    <row r="1961" spans="1:3" ht="15">
      <c r="A1961" s="90" t="s">
        <v>305</v>
      </c>
      <c r="B1961" s="89" t="s">
        <v>3448</v>
      </c>
      <c r="C1961" s="102" t="s">
        <v>1090</v>
      </c>
    </row>
    <row r="1962" spans="1:3" ht="15">
      <c r="A1962" s="90" t="s">
        <v>305</v>
      </c>
      <c r="B1962" s="89" t="s">
        <v>2874</v>
      </c>
      <c r="C1962" s="102" t="s">
        <v>1090</v>
      </c>
    </row>
    <row r="1963" spans="1:3" ht="15">
      <c r="A1963" s="90" t="s">
        <v>305</v>
      </c>
      <c r="B1963" s="89" t="s">
        <v>3865</v>
      </c>
      <c r="C1963" s="102" t="s">
        <v>1090</v>
      </c>
    </row>
    <row r="1964" spans="1:3" ht="15">
      <c r="A1964" s="90" t="s">
        <v>305</v>
      </c>
      <c r="B1964" s="89" t="s">
        <v>3285</v>
      </c>
      <c r="C1964" s="102" t="s">
        <v>1090</v>
      </c>
    </row>
    <row r="1965" spans="1:3" ht="15">
      <c r="A1965" s="90" t="s">
        <v>305</v>
      </c>
      <c r="B1965" s="89" t="s">
        <v>3007</v>
      </c>
      <c r="C1965" s="102" t="s">
        <v>1090</v>
      </c>
    </row>
    <row r="1966" spans="1:3" ht="15">
      <c r="A1966" s="90" t="s">
        <v>305</v>
      </c>
      <c r="B1966" s="89" t="s">
        <v>3008</v>
      </c>
      <c r="C1966" s="102" t="s">
        <v>1090</v>
      </c>
    </row>
    <row r="1967" spans="1:3" ht="15">
      <c r="A1967" s="90" t="s">
        <v>305</v>
      </c>
      <c r="B1967" s="89" t="s">
        <v>3866</v>
      </c>
      <c r="C1967" s="102" t="s">
        <v>1090</v>
      </c>
    </row>
    <row r="1968" spans="1:3" ht="15">
      <c r="A1968" s="90" t="s">
        <v>305</v>
      </c>
      <c r="B1968" s="89" t="s">
        <v>3334</v>
      </c>
      <c r="C1968" s="102" t="s">
        <v>1090</v>
      </c>
    </row>
    <row r="1969" spans="1:3" ht="15">
      <c r="A1969" s="90" t="s">
        <v>305</v>
      </c>
      <c r="B1969" s="89" t="s">
        <v>3599</v>
      </c>
      <c r="C1969" s="102" t="s">
        <v>1090</v>
      </c>
    </row>
    <row r="1970" spans="1:3" ht="15">
      <c r="A1970" s="90" t="s">
        <v>305</v>
      </c>
      <c r="B1970" s="89" t="s">
        <v>3867</v>
      </c>
      <c r="C1970" s="102" t="s">
        <v>1090</v>
      </c>
    </row>
    <row r="1971" spans="1:3" ht="15">
      <c r="A1971" s="90" t="s">
        <v>305</v>
      </c>
      <c r="B1971" s="89" t="s">
        <v>3868</v>
      </c>
      <c r="C1971" s="102" t="s">
        <v>1090</v>
      </c>
    </row>
    <row r="1972" spans="1:3" ht="15">
      <c r="A1972" s="90" t="s">
        <v>305</v>
      </c>
      <c r="B1972" s="89" t="s">
        <v>3869</v>
      </c>
      <c r="C1972" s="102" t="s">
        <v>1090</v>
      </c>
    </row>
    <row r="1973" spans="1:3" ht="15">
      <c r="A1973" s="90" t="s">
        <v>305</v>
      </c>
      <c r="B1973" s="89" t="s">
        <v>3256</v>
      </c>
      <c r="C1973" s="102" t="s">
        <v>1090</v>
      </c>
    </row>
    <row r="1974" spans="1:3" ht="15">
      <c r="A1974" s="90" t="s">
        <v>305</v>
      </c>
      <c r="B1974" s="89" t="s">
        <v>2875</v>
      </c>
      <c r="C1974" s="102" t="s">
        <v>1090</v>
      </c>
    </row>
    <row r="1975" spans="1:3" ht="15">
      <c r="A1975" s="90" t="s">
        <v>305</v>
      </c>
      <c r="B1975" s="89" t="s">
        <v>2784</v>
      </c>
      <c r="C1975" s="102" t="s">
        <v>1090</v>
      </c>
    </row>
    <row r="1976" spans="1:3" ht="15">
      <c r="A1976" s="90" t="s">
        <v>305</v>
      </c>
      <c r="B1976" s="89" t="s">
        <v>3870</v>
      </c>
      <c r="C1976" s="102" t="s">
        <v>1090</v>
      </c>
    </row>
    <row r="1977" spans="1:3" ht="15">
      <c r="A1977" s="90" t="s">
        <v>305</v>
      </c>
      <c r="B1977" s="89" t="s">
        <v>2953</v>
      </c>
      <c r="C1977" s="102" t="s">
        <v>1090</v>
      </c>
    </row>
    <row r="1978" spans="1:3" ht="15">
      <c r="A1978" s="90" t="s">
        <v>305</v>
      </c>
      <c r="B1978" s="89" t="s">
        <v>3443</v>
      </c>
      <c r="C1978" s="102" t="s">
        <v>1090</v>
      </c>
    </row>
    <row r="1979" spans="1:3" ht="15">
      <c r="A1979" s="90" t="s">
        <v>305</v>
      </c>
      <c r="B1979" s="89" t="s">
        <v>3871</v>
      </c>
      <c r="C1979" s="102" t="s">
        <v>1090</v>
      </c>
    </row>
    <row r="1980" spans="1:3" ht="15">
      <c r="A1980" s="90" t="s">
        <v>367</v>
      </c>
      <c r="B1980" s="89" t="s">
        <v>3204</v>
      </c>
      <c r="C1980" s="102" t="s">
        <v>1202</v>
      </c>
    </row>
    <row r="1981" spans="1:3" ht="15">
      <c r="A1981" s="90" t="s">
        <v>367</v>
      </c>
      <c r="B1981" s="89" t="s">
        <v>2661</v>
      </c>
      <c r="C1981" s="102" t="s">
        <v>1202</v>
      </c>
    </row>
    <row r="1982" spans="1:3" ht="15">
      <c r="A1982" s="90" t="s">
        <v>367</v>
      </c>
      <c r="B1982" s="89" t="s">
        <v>3205</v>
      </c>
      <c r="C1982" s="102" t="s">
        <v>1202</v>
      </c>
    </row>
    <row r="1983" spans="1:3" ht="15">
      <c r="A1983" s="90" t="s">
        <v>367</v>
      </c>
      <c r="B1983" s="89" t="s">
        <v>3206</v>
      </c>
      <c r="C1983" s="102" t="s">
        <v>1202</v>
      </c>
    </row>
    <row r="1984" spans="1:3" ht="15">
      <c r="A1984" s="90" t="s">
        <v>367</v>
      </c>
      <c r="B1984" s="89" t="s">
        <v>3207</v>
      </c>
      <c r="C1984" s="102" t="s">
        <v>1202</v>
      </c>
    </row>
    <row r="1985" spans="1:3" ht="15">
      <c r="A1985" s="90" t="s">
        <v>367</v>
      </c>
      <c r="B1985" s="89" t="s">
        <v>2683</v>
      </c>
      <c r="C1985" s="102" t="s">
        <v>1202</v>
      </c>
    </row>
    <row r="1986" spans="1:3" ht="15">
      <c r="A1986" s="90" t="s">
        <v>367</v>
      </c>
      <c r="B1986" s="89" t="s">
        <v>3278</v>
      </c>
      <c r="C1986" s="102" t="s">
        <v>1201</v>
      </c>
    </row>
    <row r="1987" spans="1:3" ht="15">
      <c r="A1987" s="90" t="s">
        <v>367</v>
      </c>
      <c r="B1987" s="89" t="s">
        <v>2816</v>
      </c>
      <c r="C1987" s="102" t="s">
        <v>1201</v>
      </c>
    </row>
    <row r="1988" spans="1:3" ht="15">
      <c r="A1988" s="90" t="s">
        <v>367</v>
      </c>
      <c r="B1988" s="89" t="s">
        <v>712</v>
      </c>
      <c r="C1988" s="102" t="s">
        <v>1201</v>
      </c>
    </row>
    <row r="1989" spans="1:3" ht="15">
      <c r="A1989" s="90" t="s">
        <v>367</v>
      </c>
      <c r="B1989" s="89" t="s">
        <v>2964</v>
      </c>
      <c r="C1989" s="102" t="s">
        <v>1201</v>
      </c>
    </row>
    <row r="1990" spans="1:3" ht="15">
      <c r="A1990" s="90" t="s">
        <v>367</v>
      </c>
      <c r="B1990" s="89" t="s">
        <v>2965</v>
      </c>
      <c r="C1990" s="102" t="s">
        <v>1201</v>
      </c>
    </row>
    <row r="1991" spans="1:3" ht="15">
      <c r="A1991" s="90" t="s">
        <v>367</v>
      </c>
      <c r="B1991" s="89" t="s">
        <v>2966</v>
      </c>
      <c r="C1991" s="102" t="s">
        <v>1201</v>
      </c>
    </row>
    <row r="1992" spans="1:3" ht="15">
      <c r="A1992" s="90" t="s">
        <v>367</v>
      </c>
      <c r="B1992" s="89" t="s">
        <v>2739</v>
      </c>
      <c r="C1992" s="102" t="s">
        <v>1201</v>
      </c>
    </row>
    <row r="1993" spans="1:3" ht="15">
      <c r="A1993" s="90" t="s">
        <v>367</v>
      </c>
      <c r="B1993" s="89" t="s">
        <v>3490</v>
      </c>
      <c r="C1993" s="102" t="s">
        <v>1201</v>
      </c>
    </row>
    <row r="1994" spans="1:3" ht="15">
      <c r="A1994" s="90" t="s">
        <v>367</v>
      </c>
      <c r="B1994" s="89" t="s">
        <v>3491</v>
      </c>
      <c r="C1994" s="102" t="s">
        <v>1201</v>
      </c>
    </row>
    <row r="1995" spans="1:3" ht="15">
      <c r="A1995" s="90" t="s">
        <v>367</v>
      </c>
      <c r="B1995" s="89" t="s">
        <v>2841</v>
      </c>
      <c r="C1995" s="102" t="s">
        <v>1201</v>
      </c>
    </row>
    <row r="1996" spans="1:3" ht="15">
      <c r="A1996" s="90" t="s">
        <v>367</v>
      </c>
      <c r="B1996" s="89" t="s">
        <v>3304</v>
      </c>
      <c r="C1996" s="102" t="s">
        <v>1201</v>
      </c>
    </row>
    <row r="1997" spans="1:3" ht="15">
      <c r="A1997" s="90" t="s">
        <v>367</v>
      </c>
      <c r="B1997" s="89" t="s">
        <v>3367</v>
      </c>
      <c r="C1997" s="102" t="s">
        <v>1189</v>
      </c>
    </row>
    <row r="1998" spans="1:3" ht="15">
      <c r="A1998" s="90" t="s">
        <v>367</v>
      </c>
      <c r="B1998" s="89" t="s">
        <v>3204</v>
      </c>
      <c r="C1998" s="102" t="s">
        <v>1189</v>
      </c>
    </row>
    <row r="1999" spans="1:3" ht="15">
      <c r="A1999" s="90" t="s">
        <v>367</v>
      </c>
      <c r="B1999" s="89" t="s">
        <v>3141</v>
      </c>
      <c r="C1999" s="102" t="s">
        <v>1189</v>
      </c>
    </row>
    <row r="2000" spans="1:3" ht="15">
      <c r="A2000" s="90" t="s">
        <v>367</v>
      </c>
      <c r="B2000" s="89" t="s">
        <v>2735</v>
      </c>
      <c r="C2000" s="102" t="s">
        <v>1189</v>
      </c>
    </row>
    <row r="2001" spans="1:3" ht="15">
      <c r="A2001" s="90" t="s">
        <v>367</v>
      </c>
      <c r="B2001" s="89" t="s">
        <v>2736</v>
      </c>
      <c r="C2001" s="102" t="s">
        <v>1189</v>
      </c>
    </row>
    <row r="2002" spans="1:3" ht="15">
      <c r="A2002" s="90" t="s">
        <v>367</v>
      </c>
      <c r="B2002" s="89" t="s">
        <v>3196</v>
      </c>
      <c r="C2002" s="102" t="s">
        <v>1189</v>
      </c>
    </row>
    <row r="2003" spans="1:3" ht="15">
      <c r="A2003" s="90" t="s">
        <v>367</v>
      </c>
      <c r="B2003" s="89" t="s">
        <v>3192</v>
      </c>
      <c r="C2003" s="102" t="s">
        <v>1189</v>
      </c>
    </row>
    <row r="2004" spans="1:3" ht="15">
      <c r="A2004" s="90" t="s">
        <v>367</v>
      </c>
      <c r="B2004" s="89" t="s">
        <v>2770</v>
      </c>
      <c r="C2004" s="102" t="s">
        <v>1189</v>
      </c>
    </row>
    <row r="2005" spans="1:3" ht="15">
      <c r="A2005" s="90" t="s">
        <v>367</v>
      </c>
      <c r="B2005" s="89" t="s">
        <v>3137</v>
      </c>
      <c r="C2005" s="102" t="s">
        <v>1189</v>
      </c>
    </row>
    <row r="2006" spans="1:3" ht="15">
      <c r="A2006" s="90" t="s">
        <v>367</v>
      </c>
      <c r="B2006" s="89" t="s">
        <v>3155</v>
      </c>
      <c r="C2006" s="102" t="s">
        <v>1189</v>
      </c>
    </row>
    <row r="2007" spans="1:3" ht="15">
      <c r="A2007" s="90" t="s">
        <v>367</v>
      </c>
      <c r="B2007" s="89" t="s">
        <v>2771</v>
      </c>
      <c r="C2007" s="102" t="s">
        <v>1189</v>
      </c>
    </row>
    <row r="2008" spans="1:3" ht="15">
      <c r="A2008" s="90" t="s">
        <v>367</v>
      </c>
      <c r="B2008" s="89" t="s">
        <v>2747</v>
      </c>
      <c r="C2008" s="102" t="s">
        <v>1189</v>
      </c>
    </row>
    <row r="2009" spans="1:3" ht="15">
      <c r="A2009" s="90" t="s">
        <v>367</v>
      </c>
      <c r="B2009" s="89" t="s">
        <v>2772</v>
      </c>
      <c r="C2009" s="102" t="s">
        <v>1189</v>
      </c>
    </row>
    <row r="2010" spans="1:3" ht="15">
      <c r="A2010" s="90" t="s">
        <v>367</v>
      </c>
      <c r="B2010" s="89" t="s">
        <v>3170</v>
      </c>
      <c r="C2010" s="102" t="s">
        <v>1189</v>
      </c>
    </row>
    <row r="2011" spans="1:3" ht="15">
      <c r="A2011" s="90" t="s">
        <v>367</v>
      </c>
      <c r="B2011" s="89" t="s">
        <v>3289</v>
      </c>
      <c r="C2011" s="102" t="s">
        <v>1189</v>
      </c>
    </row>
    <row r="2012" spans="1:3" ht="15">
      <c r="A2012" s="90" t="s">
        <v>367</v>
      </c>
      <c r="B2012" s="89" t="s">
        <v>2773</v>
      </c>
      <c r="C2012" s="102" t="s">
        <v>1189</v>
      </c>
    </row>
    <row r="2013" spans="1:3" ht="15">
      <c r="A2013" s="90" t="s">
        <v>367</v>
      </c>
      <c r="B2013" s="89" t="s">
        <v>3368</v>
      </c>
      <c r="C2013" s="102" t="s">
        <v>1189</v>
      </c>
    </row>
    <row r="2014" spans="1:3" ht="15">
      <c r="A2014" s="90" t="s">
        <v>367</v>
      </c>
      <c r="B2014" s="89" t="s">
        <v>3369</v>
      </c>
      <c r="C2014" s="102" t="s">
        <v>1189</v>
      </c>
    </row>
    <row r="2015" spans="1:3" ht="15">
      <c r="A2015" s="90" t="s">
        <v>367</v>
      </c>
      <c r="B2015" s="89" t="s">
        <v>2774</v>
      </c>
      <c r="C2015" s="102" t="s">
        <v>1189</v>
      </c>
    </row>
    <row r="2016" spans="1:3" ht="15">
      <c r="A2016" s="90" t="s">
        <v>367</v>
      </c>
      <c r="B2016" s="89" t="s">
        <v>2775</v>
      </c>
      <c r="C2016" s="102" t="s">
        <v>1189</v>
      </c>
    </row>
    <row r="2017" spans="1:3" ht="15">
      <c r="A2017" s="90" t="s">
        <v>367</v>
      </c>
      <c r="B2017" s="89" t="s">
        <v>3370</v>
      </c>
      <c r="C2017" s="102" t="s">
        <v>1189</v>
      </c>
    </row>
    <row r="2018" spans="1:3" ht="15">
      <c r="A2018" s="90" t="s">
        <v>367</v>
      </c>
      <c r="B2018" s="89" t="s">
        <v>3278</v>
      </c>
      <c r="C2018" s="102" t="s">
        <v>1189</v>
      </c>
    </row>
    <row r="2019" spans="1:3" ht="15">
      <c r="A2019" s="90" t="s">
        <v>367</v>
      </c>
      <c r="B2019" s="89" t="s">
        <v>1621</v>
      </c>
      <c r="C2019" s="102" t="s">
        <v>1189</v>
      </c>
    </row>
    <row r="2020" spans="1:3" ht="15">
      <c r="A2020" s="90" t="s">
        <v>367</v>
      </c>
      <c r="B2020" s="89" t="s">
        <v>2776</v>
      </c>
      <c r="C2020" s="102" t="s">
        <v>1189</v>
      </c>
    </row>
    <row r="2021" spans="1:3" ht="15">
      <c r="A2021" s="90" t="s">
        <v>367</v>
      </c>
      <c r="B2021" s="89" t="s">
        <v>385</v>
      </c>
      <c r="C2021" s="102" t="s">
        <v>1200</v>
      </c>
    </row>
    <row r="2022" spans="1:3" ht="15">
      <c r="A2022" s="90" t="s">
        <v>367</v>
      </c>
      <c r="B2022" s="89" t="s">
        <v>712</v>
      </c>
      <c r="C2022" s="102" t="s">
        <v>1200</v>
      </c>
    </row>
    <row r="2023" spans="1:3" ht="15">
      <c r="A2023" s="90" t="s">
        <v>367</v>
      </c>
      <c r="B2023" s="89" t="s">
        <v>368</v>
      </c>
      <c r="C2023" s="102" t="s">
        <v>1199</v>
      </c>
    </row>
    <row r="2024" spans="1:3" ht="15">
      <c r="A2024" s="90" t="s">
        <v>367</v>
      </c>
      <c r="B2024" s="89" t="s">
        <v>3872</v>
      </c>
      <c r="C2024" s="102" t="s">
        <v>1199</v>
      </c>
    </row>
    <row r="2025" spans="1:3" ht="15">
      <c r="A2025" s="90" t="s">
        <v>367</v>
      </c>
      <c r="B2025" s="89" t="s">
        <v>431</v>
      </c>
      <c r="C2025" s="102" t="s">
        <v>1199</v>
      </c>
    </row>
    <row r="2026" spans="1:3" ht="15">
      <c r="A2026" s="90" t="s">
        <v>367</v>
      </c>
      <c r="B2026" s="89" t="s">
        <v>3310</v>
      </c>
      <c r="C2026" s="102" t="s">
        <v>1199</v>
      </c>
    </row>
    <row r="2027" spans="1:3" ht="15">
      <c r="A2027" s="90" t="s">
        <v>367</v>
      </c>
      <c r="B2027" s="89" t="s">
        <v>712</v>
      </c>
      <c r="C2027" s="102" t="s">
        <v>1199</v>
      </c>
    </row>
    <row r="2028" spans="1:3" ht="15">
      <c r="A2028" s="90" t="s">
        <v>367</v>
      </c>
      <c r="B2028" s="89" t="s">
        <v>3307</v>
      </c>
      <c r="C2028" s="102" t="s">
        <v>1198</v>
      </c>
    </row>
    <row r="2029" spans="1:3" ht="15">
      <c r="A2029" s="90" t="s">
        <v>367</v>
      </c>
      <c r="B2029" s="89" t="s">
        <v>3152</v>
      </c>
      <c r="C2029" s="102" t="s">
        <v>1198</v>
      </c>
    </row>
    <row r="2030" spans="1:3" ht="15">
      <c r="A2030" s="90" t="s">
        <v>367</v>
      </c>
      <c r="B2030" s="89" t="s">
        <v>3141</v>
      </c>
      <c r="C2030" s="102" t="s">
        <v>1198</v>
      </c>
    </row>
    <row r="2031" spans="1:3" ht="15">
      <c r="A2031" s="90" t="s">
        <v>367</v>
      </c>
      <c r="B2031" s="89" t="s">
        <v>2678</v>
      </c>
      <c r="C2031" s="102" t="s">
        <v>1198</v>
      </c>
    </row>
    <row r="2032" spans="1:3" ht="15">
      <c r="A2032" s="90" t="s">
        <v>367</v>
      </c>
      <c r="B2032" s="89" t="s">
        <v>2676</v>
      </c>
      <c r="C2032" s="102" t="s">
        <v>1198</v>
      </c>
    </row>
    <row r="2033" spans="1:3" ht="15">
      <c r="A2033" s="90" t="s">
        <v>367</v>
      </c>
      <c r="B2033" s="89" t="s">
        <v>3308</v>
      </c>
      <c r="C2033" s="102" t="s">
        <v>1198</v>
      </c>
    </row>
    <row r="2034" spans="1:3" ht="15">
      <c r="A2034" s="90" t="s">
        <v>367</v>
      </c>
      <c r="B2034" s="89" t="s">
        <v>3205</v>
      </c>
      <c r="C2034" s="102" t="s">
        <v>1198</v>
      </c>
    </row>
    <row r="2035" spans="1:3" ht="15">
      <c r="A2035" s="90" t="s">
        <v>367</v>
      </c>
      <c r="B2035" s="89" t="s">
        <v>3155</v>
      </c>
      <c r="C2035" s="102" t="s">
        <v>1198</v>
      </c>
    </row>
    <row r="2036" spans="1:3" ht="15">
      <c r="A2036" s="90" t="s">
        <v>367</v>
      </c>
      <c r="B2036" s="89" t="s">
        <v>3309</v>
      </c>
      <c r="C2036" s="102" t="s">
        <v>1198</v>
      </c>
    </row>
    <row r="2037" spans="1:3" ht="15">
      <c r="A2037" s="90" t="s">
        <v>367</v>
      </c>
      <c r="B2037" s="89" t="s">
        <v>2679</v>
      </c>
      <c r="C2037" s="102" t="s">
        <v>1198</v>
      </c>
    </row>
    <row r="2038" spans="1:3" ht="15">
      <c r="A2038" s="90" t="s">
        <v>367</v>
      </c>
      <c r="B2038" s="89" t="s">
        <v>712</v>
      </c>
      <c r="C2038" s="102" t="s">
        <v>1198</v>
      </c>
    </row>
    <row r="2039" spans="1:3" ht="15">
      <c r="A2039" s="90" t="s">
        <v>367</v>
      </c>
      <c r="B2039" s="89" t="s">
        <v>431</v>
      </c>
      <c r="C2039" s="102" t="s">
        <v>1198</v>
      </c>
    </row>
    <row r="2040" spans="1:3" ht="15">
      <c r="A2040" s="90" t="s">
        <v>367</v>
      </c>
      <c r="B2040" s="89" t="s">
        <v>3310</v>
      </c>
      <c r="C2040" s="102" t="s">
        <v>1198</v>
      </c>
    </row>
    <row r="2041" spans="1:3" ht="15">
      <c r="A2041" s="90" t="s">
        <v>367</v>
      </c>
      <c r="B2041" s="89" t="s">
        <v>3367</v>
      </c>
      <c r="C2041" s="102" t="s">
        <v>1191</v>
      </c>
    </row>
    <row r="2042" spans="1:3" ht="15">
      <c r="A2042" s="90" t="s">
        <v>367</v>
      </c>
      <c r="B2042" s="89" t="s">
        <v>3570</v>
      </c>
      <c r="C2042" s="102" t="s">
        <v>1191</v>
      </c>
    </row>
    <row r="2043" spans="1:3" ht="15">
      <c r="A2043" s="90" t="s">
        <v>367</v>
      </c>
      <c r="B2043" s="89" t="s">
        <v>3141</v>
      </c>
      <c r="C2043" s="102" t="s">
        <v>1191</v>
      </c>
    </row>
    <row r="2044" spans="1:3" ht="15">
      <c r="A2044" s="90" t="s">
        <v>367</v>
      </c>
      <c r="B2044" s="89" t="s">
        <v>2873</v>
      </c>
      <c r="C2044" s="102" t="s">
        <v>1191</v>
      </c>
    </row>
    <row r="2045" spans="1:3" ht="15">
      <c r="A2045" s="90" t="s">
        <v>367</v>
      </c>
      <c r="B2045" s="89" t="s">
        <v>3873</v>
      </c>
      <c r="C2045" s="102" t="s">
        <v>1191</v>
      </c>
    </row>
    <row r="2046" spans="1:3" ht="15">
      <c r="A2046" s="90" t="s">
        <v>367</v>
      </c>
      <c r="B2046" s="89" t="s">
        <v>3874</v>
      </c>
      <c r="C2046" s="102" t="s">
        <v>1191</v>
      </c>
    </row>
    <row r="2047" spans="1:3" ht="15">
      <c r="A2047" s="90" t="s">
        <v>367</v>
      </c>
      <c r="B2047" s="89" t="s">
        <v>3253</v>
      </c>
      <c r="C2047" s="102" t="s">
        <v>1191</v>
      </c>
    </row>
    <row r="2048" spans="1:3" ht="15">
      <c r="A2048" s="90" t="s">
        <v>367</v>
      </c>
      <c r="B2048" s="89" t="s">
        <v>3009</v>
      </c>
      <c r="C2048" s="102" t="s">
        <v>1191</v>
      </c>
    </row>
    <row r="2049" spans="1:3" ht="15">
      <c r="A2049" s="90" t="s">
        <v>367</v>
      </c>
      <c r="B2049" s="89" t="s">
        <v>3010</v>
      </c>
      <c r="C2049" s="102" t="s">
        <v>1191</v>
      </c>
    </row>
    <row r="2050" spans="1:3" ht="15">
      <c r="A2050" s="90" t="s">
        <v>367</v>
      </c>
      <c r="B2050" s="89" t="s">
        <v>3875</v>
      </c>
      <c r="C2050" s="102" t="s">
        <v>1191</v>
      </c>
    </row>
    <row r="2051" spans="1:3" ht="15">
      <c r="A2051" s="90" t="s">
        <v>367</v>
      </c>
      <c r="B2051" s="89" t="s">
        <v>3304</v>
      </c>
      <c r="C2051" s="102" t="s">
        <v>1191</v>
      </c>
    </row>
    <row r="2052" spans="1:3" ht="15">
      <c r="A2052" s="90" t="s">
        <v>367</v>
      </c>
      <c r="B2052" s="89" t="s">
        <v>3297</v>
      </c>
      <c r="C2052" s="102" t="s">
        <v>1191</v>
      </c>
    </row>
    <row r="2053" spans="1:3" ht="15">
      <c r="A2053" s="90" t="s">
        <v>367</v>
      </c>
      <c r="B2053" s="89" t="s">
        <v>3876</v>
      </c>
      <c r="C2053" s="102" t="s">
        <v>1191</v>
      </c>
    </row>
    <row r="2054" spans="1:3" ht="15">
      <c r="A2054" s="90" t="s">
        <v>367</v>
      </c>
      <c r="B2054" s="89" t="s">
        <v>3816</v>
      </c>
      <c r="C2054" s="102" t="s">
        <v>1191</v>
      </c>
    </row>
    <row r="2055" spans="1:3" ht="15">
      <c r="A2055" s="90" t="s">
        <v>367</v>
      </c>
      <c r="B2055" s="89" t="s">
        <v>3012</v>
      </c>
      <c r="C2055" s="102" t="s">
        <v>1191</v>
      </c>
    </row>
    <row r="2056" spans="1:3" ht="15">
      <c r="A2056" s="90" t="s">
        <v>367</v>
      </c>
      <c r="B2056" s="89" t="s">
        <v>3161</v>
      </c>
      <c r="C2056" s="102" t="s">
        <v>1191</v>
      </c>
    </row>
    <row r="2057" spans="1:3" ht="15">
      <c r="A2057" s="90" t="s">
        <v>367</v>
      </c>
      <c r="B2057" s="89" t="s">
        <v>2743</v>
      </c>
      <c r="C2057" s="102" t="s">
        <v>1191</v>
      </c>
    </row>
    <row r="2058" spans="1:3" ht="15">
      <c r="A2058" s="90" t="s">
        <v>367</v>
      </c>
      <c r="B2058" s="89" t="s">
        <v>3013</v>
      </c>
      <c r="C2058" s="102" t="s">
        <v>1191</v>
      </c>
    </row>
    <row r="2059" spans="1:3" ht="15">
      <c r="A2059" s="90" t="s">
        <v>367</v>
      </c>
      <c r="B2059" s="89" t="s">
        <v>3877</v>
      </c>
      <c r="C2059" s="102" t="s">
        <v>1191</v>
      </c>
    </row>
    <row r="2060" spans="1:3" ht="15">
      <c r="A2060" s="90" t="s">
        <v>367</v>
      </c>
      <c r="B2060" s="89" t="s">
        <v>2709</v>
      </c>
      <c r="C2060" s="102" t="s">
        <v>1191</v>
      </c>
    </row>
    <row r="2061" spans="1:3" ht="15">
      <c r="A2061" s="90" t="s">
        <v>367</v>
      </c>
      <c r="B2061" s="89" t="s">
        <v>3155</v>
      </c>
      <c r="C2061" s="102" t="s">
        <v>1191</v>
      </c>
    </row>
    <row r="2062" spans="1:3" ht="15">
      <c r="A2062" s="90" t="s">
        <v>367</v>
      </c>
      <c r="B2062" s="89" t="s">
        <v>3465</v>
      </c>
      <c r="C2062" s="102" t="s">
        <v>1191</v>
      </c>
    </row>
    <row r="2063" spans="1:3" ht="15">
      <c r="A2063" s="90" t="s">
        <v>367</v>
      </c>
      <c r="B2063" s="89" t="s">
        <v>3464</v>
      </c>
      <c r="C2063" s="102" t="s">
        <v>1191</v>
      </c>
    </row>
    <row r="2064" spans="1:3" ht="15">
      <c r="A2064" s="90" t="s">
        <v>367</v>
      </c>
      <c r="B2064" s="89" t="s">
        <v>2706</v>
      </c>
      <c r="C2064" s="102" t="s">
        <v>1191</v>
      </c>
    </row>
    <row r="2065" spans="1:3" ht="15">
      <c r="A2065" s="90" t="s">
        <v>367</v>
      </c>
      <c r="B2065" s="89" t="s">
        <v>3196</v>
      </c>
      <c r="C2065" s="102" t="s">
        <v>1191</v>
      </c>
    </row>
    <row r="2066" spans="1:3" ht="15">
      <c r="A2066" s="90" t="s">
        <v>367</v>
      </c>
      <c r="B2066" s="89" t="s">
        <v>3015</v>
      </c>
      <c r="C2066" s="102" t="s">
        <v>1191</v>
      </c>
    </row>
    <row r="2067" spans="1:3" ht="15">
      <c r="A2067" s="90" t="s">
        <v>367</v>
      </c>
      <c r="B2067" s="89" t="s">
        <v>3227</v>
      </c>
      <c r="C2067" s="102" t="s">
        <v>1191</v>
      </c>
    </row>
    <row r="2068" spans="1:3" ht="15">
      <c r="A2068" s="90" t="s">
        <v>367</v>
      </c>
      <c r="B2068" s="89" t="s">
        <v>712</v>
      </c>
      <c r="C2068" s="102" t="s">
        <v>1191</v>
      </c>
    </row>
    <row r="2069" spans="1:3" ht="15">
      <c r="A2069" s="90" t="s">
        <v>367</v>
      </c>
      <c r="B2069" s="89" t="s">
        <v>3016</v>
      </c>
      <c r="C2069" s="102" t="s">
        <v>1191</v>
      </c>
    </row>
    <row r="2070" spans="1:3" ht="15">
      <c r="A2070" s="90" t="s">
        <v>367</v>
      </c>
      <c r="B2070" s="89" t="s">
        <v>2735</v>
      </c>
      <c r="C2070" s="102" t="s">
        <v>1191</v>
      </c>
    </row>
    <row r="2071" spans="1:3" ht="15">
      <c r="A2071" s="90" t="s">
        <v>367</v>
      </c>
      <c r="B2071" s="89" t="s">
        <v>2736</v>
      </c>
      <c r="C2071" s="102" t="s">
        <v>1191</v>
      </c>
    </row>
    <row r="2072" spans="1:3" ht="15">
      <c r="A2072" s="90" t="s">
        <v>304</v>
      </c>
      <c r="B2072" s="89" t="s">
        <v>368</v>
      </c>
      <c r="C2072" s="102" t="s">
        <v>1089</v>
      </c>
    </row>
    <row r="2073" spans="1:3" ht="15">
      <c r="A2073" s="90" t="s">
        <v>304</v>
      </c>
      <c r="B2073" s="89" t="s">
        <v>3872</v>
      </c>
      <c r="C2073" s="102" t="s">
        <v>1089</v>
      </c>
    </row>
    <row r="2074" spans="1:3" ht="15">
      <c r="A2074" s="90" t="s">
        <v>304</v>
      </c>
      <c r="B2074" s="89" t="s">
        <v>431</v>
      </c>
      <c r="C2074" s="102" t="s">
        <v>1089</v>
      </c>
    </row>
    <row r="2075" spans="1:3" ht="15">
      <c r="A2075" s="90" t="s">
        <v>304</v>
      </c>
      <c r="B2075" s="89" t="s">
        <v>3310</v>
      </c>
      <c r="C2075" s="102" t="s">
        <v>1089</v>
      </c>
    </row>
    <row r="2076" spans="1:3" ht="15">
      <c r="A2076" s="90" t="s">
        <v>304</v>
      </c>
      <c r="B2076" s="89" t="s">
        <v>712</v>
      </c>
      <c r="C2076" s="102" t="s">
        <v>1089</v>
      </c>
    </row>
    <row r="2077" spans="1:3" ht="15">
      <c r="A2077" s="90" t="s">
        <v>324</v>
      </c>
      <c r="B2077" s="89" t="s">
        <v>3307</v>
      </c>
      <c r="C2077" s="102" t="s">
        <v>1197</v>
      </c>
    </row>
    <row r="2078" spans="1:3" ht="15">
      <c r="A2078" s="90" t="s">
        <v>324</v>
      </c>
      <c r="B2078" s="89" t="s">
        <v>3152</v>
      </c>
      <c r="C2078" s="102" t="s">
        <v>1197</v>
      </c>
    </row>
    <row r="2079" spans="1:3" ht="15">
      <c r="A2079" s="90" t="s">
        <v>324</v>
      </c>
      <c r="B2079" s="89" t="s">
        <v>3141</v>
      </c>
      <c r="C2079" s="102" t="s">
        <v>1197</v>
      </c>
    </row>
    <row r="2080" spans="1:3" ht="15">
      <c r="A2080" s="90" t="s">
        <v>324</v>
      </c>
      <c r="B2080" s="89" t="s">
        <v>2678</v>
      </c>
      <c r="C2080" s="102" t="s">
        <v>1197</v>
      </c>
    </row>
    <row r="2081" spans="1:3" ht="15">
      <c r="A2081" s="90" t="s">
        <v>324</v>
      </c>
      <c r="B2081" s="89" t="s">
        <v>2676</v>
      </c>
      <c r="C2081" s="102" t="s">
        <v>1197</v>
      </c>
    </row>
    <row r="2082" spans="1:3" ht="15">
      <c r="A2082" s="90" t="s">
        <v>324</v>
      </c>
      <c r="B2082" s="89" t="s">
        <v>3308</v>
      </c>
      <c r="C2082" s="102" t="s">
        <v>1197</v>
      </c>
    </row>
    <row r="2083" spans="1:3" ht="15">
      <c r="A2083" s="90" t="s">
        <v>324</v>
      </c>
      <c r="B2083" s="89" t="s">
        <v>3205</v>
      </c>
      <c r="C2083" s="102" t="s">
        <v>1197</v>
      </c>
    </row>
    <row r="2084" spans="1:3" ht="15">
      <c r="A2084" s="90" t="s">
        <v>324</v>
      </c>
      <c r="B2084" s="89" t="s">
        <v>3155</v>
      </c>
      <c r="C2084" s="102" t="s">
        <v>1197</v>
      </c>
    </row>
    <row r="2085" spans="1:3" ht="15">
      <c r="A2085" s="90" t="s">
        <v>324</v>
      </c>
      <c r="B2085" s="89" t="s">
        <v>3309</v>
      </c>
      <c r="C2085" s="102" t="s">
        <v>1197</v>
      </c>
    </row>
    <row r="2086" spans="1:3" ht="15">
      <c r="A2086" s="90" t="s">
        <v>324</v>
      </c>
      <c r="B2086" s="89" t="s">
        <v>2679</v>
      </c>
      <c r="C2086" s="102" t="s">
        <v>1197</v>
      </c>
    </row>
    <row r="2087" spans="1:3" ht="15">
      <c r="A2087" s="90" t="s">
        <v>324</v>
      </c>
      <c r="B2087" s="89" t="s">
        <v>712</v>
      </c>
      <c r="C2087" s="102" t="s">
        <v>1197</v>
      </c>
    </row>
    <row r="2088" spans="1:3" ht="15">
      <c r="A2088" s="90" t="s">
        <v>324</v>
      </c>
      <c r="B2088" s="89" t="s">
        <v>431</v>
      </c>
      <c r="C2088" s="102" t="s">
        <v>1197</v>
      </c>
    </row>
    <row r="2089" spans="1:3" ht="15">
      <c r="A2089" s="90" t="s">
        <v>324</v>
      </c>
      <c r="B2089" s="89" t="s">
        <v>3310</v>
      </c>
      <c r="C2089" s="102" t="s">
        <v>1197</v>
      </c>
    </row>
    <row r="2090" spans="1:3" ht="15">
      <c r="A2090" s="90" t="s">
        <v>304</v>
      </c>
      <c r="B2090" s="89" t="s">
        <v>3307</v>
      </c>
      <c r="C2090" s="102" t="s">
        <v>1088</v>
      </c>
    </row>
    <row r="2091" spans="1:3" ht="15">
      <c r="A2091" s="90" t="s">
        <v>304</v>
      </c>
      <c r="B2091" s="89" t="s">
        <v>3152</v>
      </c>
      <c r="C2091" s="102" t="s">
        <v>1088</v>
      </c>
    </row>
    <row r="2092" spans="1:3" ht="15">
      <c r="A2092" s="90" t="s">
        <v>304</v>
      </c>
      <c r="B2092" s="89" t="s">
        <v>3141</v>
      </c>
      <c r="C2092" s="102" t="s">
        <v>1088</v>
      </c>
    </row>
    <row r="2093" spans="1:3" ht="15">
      <c r="A2093" s="90" t="s">
        <v>304</v>
      </c>
      <c r="B2093" s="89" t="s">
        <v>2678</v>
      </c>
      <c r="C2093" s="102" t="s">
        <v>1088</v>
      </c>
    </row>
    <row r="2094" spans="1:3" ht="15">
      <c r="A2094" s="90" t="s">
        <v>304</v>
      </c>
      <c r="B2094" s="89" t="s">
        <v>2676</v>
      </c>
      <c r="C2094" s="102" t="s">
        <v>1088</v>
      </c>
    </row>
    <row r="2095" spans="1:3" ht="15">
      <c r="A2095" s="90" t="s">
        <v>304</v>
      </c>
      <c r="B2095" s="89" t="s">
        <v>3308</v>
      </c>
      <c r="C2095" s="102" t="s">
        <v>1088</v>
      </c>
    </row>
    <row r="2096" spans="1:3" ht="15">
      <c r="A2096" s="90" t="s">
        <v>304</v>
      </c>
      <c r="B2096" s="89" t="s">
        <v>3205</v>
      </c>
      <c r="C2096" s="102" t="s">
        <v>1088</v>
      </c>
    </row>
    <row r="2097" spans="1:3" ht="15">
      <c r="A2097" s="90" t="s">
        <v>304</v>
      </c>
      <c r="B2097" s="89" t="s">
        <v>3155</v>
      </c>
      <c r="C2097" s="102" t="s">
        <v>1088</v>
      </c>
    </row>
    <row r="2098" spans="1:3" ht="15">
      <c r="A2098" s="90" t="s">
        <v>304</v>
      </c>
      <c r="B2098" s="89" t="s">
        <v>3309</v>
      </c>
      <c r="C2098" s="102" t="s">
        <v>1088</v>
      </c>
    </row>
    <row r="2099" spans="1:3" ht="15">
      <c r="A2099" s="90" t="s">
        <v>304</v>
      </c>
      <c r="B2099" s="89" t="s">
        <v>2679</v>
      </c>
      <c r="C2099" s="102" t="s">
        <v>1088</v>
      </c>
    </row>
    <row r="2100" spans="1:3" ht="15">
      <c r="A2100" s="90" t="s">
        <v>304</v>
      </c>
      <c r="B2100" s="89" t="s">
        <v>712</v>
      </c>
      <c r="C2100" s="102" t="s">
        <v>1088</v>
      </c>
    </row>
    <row r="2101" spans="1:3" ht="15">
      <c r="A2101" s="90" t="s">
        <v>304</v>
      </c>
      <c r="B2101" s="89" t="s">
        <v>431</v>
      </c>
      <c r="C2101" s="102" t="s">
        <v>1088</v>
      </c>
    </row>
    <row r="2102" spans="1:3" ht="15">
      <c r="A2102" s="90" t="s">
        <v>304</v>
      </c>
      <c r="B2102" s="89" t="s">
        <v>3310</v>
      </c>
      <c r="C2102" s="102" t="s">
        <v>1088</v>
      </c>
    </row>
    <row r="2103" spans="1:3" ht="15">
      <c r="A2103" s="90" t="s">
        <v>301</v>
      </c>
      <c r="B2103" s="89" t="s">
        <v>467</v>
      </c>
      <c r="C2103" s="102" t="s">
        <v>1085</v>
      </c>
    </row>
    <row r="2104" spans="1:3" ht="15">
      <c r="A2104" s="90" t="s">
        <v>301</v>
      </c>
      <c r="B2104" s="89" t="s">
        <v>3681</v>
      </c>
      <c r="C2104" s="102" t="s">
        <v>1085</v>
      </c>
    </row>
    <row r="2105" spans="1:3" ht="15">
      <c r="A2105" s="90" t="s">
        <v>301</v>
      </c>
      <c r="B2105" s="89" t="s">
        <v>302</v>
      </c>
      <c r="C2105" s="102" t="s">
        <v>1085</v>
      </c>
    </row>
    <row r="2106" spans="1:3" ht="15">
      <c r="A2106" s="90" t="s">
        <v>301</v>
      </c>
      <c r="B2106" s="89" t="s">
        <v>3878</v>
      </c>
      <c r="C2106" s="102" t="s">
        <v>1085</v>
      </c>
    </row>
    <row r="2107" spans="1:3" ht="15">
      <c r="A2107" s="90" t="s">
        <v>301</v>
      </c>
      <c r="B2107" s="89" t="s">
        <v>3879</v>
      </c>
      <c r="C2107" s="102" t="s">
        <v>1085</v>
      </c>
    </row>
    <row r="2108" spans="1:3" ht="15">
      <c r="A2108" s="90" t="s">
        <v>301</v>
      </c>
      <c r="B2108" s="89" t="s">
        <v>712</v>
      </c>
      <c r="C2108" s="102" t="s">
        <v>1085</v>
      </c>
    </row>
    <row r="2109" spans="1:3" ht="15">
      <c r="A2109" s="90" t="s">
        <v>301</v>
      </c>
      <c r="B2109" s="89" t="s">
        <v>3141</v>
      </c>
      <c r="C2109" s="102" t="s">
        <v>1085</v>
      </c>
    </row>
    <row r="2110" spans="1:3" ht="15">
      <c r="A2110" s="90" t="s">
        <v>301</v>
      </c>
      <c r="B2110" s="89" t="s">
        <v>3880</v>
      </c>
      <c r="C2110" s="102" t="s">
        <v>1085</v>
      </c>
    </row>
    <row r="2111" spans="1:3" ht="15">
      <c r="A2111" s="90" t="s">
        <v>301</v>
      </c>
      <c r="B2111" s="89" t="s">
        <v>2960</v>
      </c>
      <c r="C2111" s="102" t="s">
        <v>1085</v>
      </c>
    </row>
    <row r="2112" spans="1:3" ht="15">
      <c r="A2112" s="90" t="s">
        <v>301</v>
      </c>
      <c r="B2112" s="89" t="s">
        <v>2685</v>
      </c>
      <c r="C2112" s="102" t="s">
        <v>1085</v>
      </c>
    </row>
    <row r="2113" spans="1:3" ht="15">
      <c r="A2113" s="90" t="s">
        <v>301</v>
      </c>
      <c r="B2113" s="89" t="s">
        <v>3881</v>
      </c>
      <c r="C2113" s="102" t="s">
        <v>1085</v>
      </c>
    </row>
    <row r="2114" spans="1:3" ht="15">
      <c r="A2114" s="90" t="s">
        <v>301</v>
      </c>
      <c r="B2114" s="89" t="s">
        <v>2754</v>
      </c>
      <c r="C2114" s="102" t="s">
        <v>1085</v>
      </c>
    </row>
    <row r="2115" spans="1:3" ht="15">
      <c r="A2115" s="90" t="s">
        <v>301</v>
      </c>
      <c r="B2115" s="89" t="s">
        <v>3882</v>
      </c>
      <c r="C2115" s="102" t="s">
        <v>1085</v>
      </c>
    </row>
    <row r="2116" spans="1:3" ht="15">
      <c r="A2116" s="90" t="s">
        <v>301</v>
      </c>
      <c r="B2116" s="89" t="s">
        <v>3017</v>
      </c>
      <c r="C2116" s="102" t="s">
        <v>1085</v>
      </c>
    </row>
    <row r="2117" spans="1:3" ht="15">
      <c r="A2117" s="90" t="s">
        <v>301</v>
      </c>
      <c r="B2117" s="89" t="s">
        <v>3883</v>
      </c>
      <c r="C2117" s="102" t="s">
        <v>1085</v>
      </c>
    </row>
    <row r="2118" spans="1:3" ht="15">
      <c r="A2118" s="90" t="s">
        <v>301</v>
      </c>
      <c r="B2118" s="89" t="s">
        <v>3356</v>
      </c>
      <c r="C2118" s="102" t="s">
        <v>1085</v>
      </c>
    </row>
    <row r="2119" spans="1:3" ht="15">
      <c r="A2119" s="90" t="s">
        <v>301</v>
      </c>
      <c r="B2119" s="89" t="s">
        <v>3884</v>
      </c>
      <c r="C2119" s="102" t="s">
        <v>1085</v>
      </c>
    </row>
    <row r="2120" spans="1:3" ht="15">
      <c r="A2120" s="90" t="s">
        <v>301</v>
      </c>
      <c r="B2120" s="89" t="s">
        <v>3885</v>
      </c>
      <c r="C2120" s="102" t="s">
        <v>1085</v>
      </c>
    </row>
    <row r="2121" spans="1:3" ht="15">
      <c r="A2121" s="90" t="s">
        <v>301</v>
      </c>
      <c r="B2121" s="89" t="s">
        <v>3886</v>
      </c>
      <c r="C2121" s="102" t="s">
        <v>1085</v>
      </c>
    </row>
    <row r="2122" spans="1:3" ht="15">
      <c r="A2122" s="90" t="s">
        <v>301</v>
      </c>
      <c r="B2122" s="89" t="s">
        <v>3309</v>
      </c>
      <c r="C2122" s="102" t="s">
        <v>1085</v>
      </c>
    </row>
    <row r="2123" spans="1:3" ht="15">
      <c r="A2123" s="90" t="s">
        <v>301</v>
      </c>
      <c r="B2123" s="89" t="s">
        <v>2838</v>
      </c>
      <c r="C2123" s="102" t="s">
        <v>1085</v>
      </c>
    </row>
    <row r="2124" spans="1:3" ht="15">
      <c r="A2124" s="90" t="s">
        <v>301</v>
      </c>
      <c r="B2124" s="89" t="s">
        <v>3887</v>
      </c>
      <c r="C2124" s="102" t="s">
        <v>1085</v>
      </c>
    </row>
    <row r="2125" spans="1:3" ht="15">
      <c r="A2125" s="90" t="s">
        <v>301</v>
      </c>
      <c r="B2125" s="89" t="s">
        <v>3888</v>
      </c>
      <c r="C2125" s="102" t="s">
        <v>1085</v>
      </c>
    </row>
    <row r="2126" spans="1:3" ht="15">
      <c r="A2126" s="90" t="s">
        <v>301</v>
      </c>
      <c r="B2126" s="89" t="s">
        <v>3153</v>
      </c>
      <c r="C2126" s="102" t="s">
        <v>1085</v>
      </c>
    </row>
    <row r="2127" spans="1:3" ht="15">
      <c r="A2127" s="90" t="s">
        <v>301</v>
      </c>
      <c r="B2127" s="89" t="s">
        <v>3889</v>
      </c>
      <c r="C2127" s="102" t="s">
        <v>1085</v>
      </c>
    </row>
    <row r="2128" spans="1:3" ht="15">
      <c r="A2128" s="90" t="s">
        <v>301</v>
      </c>
      <c r="B2128" s="89" t="s">
        <v>3192</v>
      </c>
      <c r="C2128" s="102" t="s">
        <v>1085</v>
      </c>
    </row>
    <row r="2129" spans="1:3" ht="15">
      <c r="A2129" s="90" t="s">
        <v>301</v>
      </c>
      <c r="B2129" s="89" t="s">
        <v>3180</v>
      </c>
      <c r="C2129" s="102" t="s">
        <v>1085</v>
      </c>
    </row>
    <row r="2130" spans="1:3" ht="15">
      <c r="A2130" s="90" t="s">
        <v>301</v>
      </c>
      <c r="B2130" s="89" t="s">
        <v>3165</v>
      </c>
      <c r="C2130" s="102" t="s">
        <v>1085</v>
      </c>
    </row>
    <row r="2131" spans="1:3" ht="15">
      <c r="A2131" s="90" t="s">
        <v>301</v>
      </c>
      <c r="B2131" s="89" t="s">
        <v>2787</v>
      </c>
      <c r="C2131" s="102" t="s">
        <v>1085</v>
      </c>
    </row>
    <row r="2132" spans="1:3" ht="15">
      <c r="A2132" s="90" t="s">
        <v>301</v>
      </c>
      <c r="B2132" s="89" t="s">
        <v>3890</v>
      </c>
      <c r="C2132" s="102" t="s">
        <v>1085</v>
      </c>
    </row>
    <row r="2133" spans="1:3" ht="15">
      <c r="A2133" s="90" t="s">
        <v>301</v>
      </c>
      <c r="B2133" s="89" t="s">
        <v>3891</v>
      </c>
      <c r="C2133" s="102" t="s">
        <v>1085</v>
      </c>
    </row>
    <row r="2134" spans="1:3" ht="15">
      <c r="A2134" s="90" t="s">
        <v>301</v>
      </c>
      <c r="B2134" s="89" t="s">
        <v>3892</v>
      </c>
      <c r="C2134" s="102" t="s">
        <v>1085</v>
      </c>
    </row>
    <row r="2135" spans="1:3" ht="15">
      <c r="A2135" s="90" t="s">
        <v>301</v>
      </c>
      <c r="B2135" s="89" t="s">
        <v>3893</v>
      </c>
      <c r="C2135" s="102" t="s">
        <v>1085</v>
      </c>
    </row>
    <row r="2136" spans="1:3" ht="15">
      <c r="A2136" s="90" t="s">
        <v>301</v>
      </c>
      <c r="B2136" s="89" t="s">
        <v>3894</v>
      </c>
      <c r="C2136" s="102" t="s">
        <v>1085</v>
      </c>
    </row>
    <row r="2137" spans="1:3" ht="15">
      <c r="A2137" s="90" t="s">
        <v>301</v>
      </c>
      <c r="B2137" s="89" t="s">
        <v>3018</v>
      </c>
      <c r="C2137" s="102" t="s">
        <v>1085</v>
      </c>
    </row>
    <row r="2138" spans="1:3" ht="15">
      <c r="A2138" s="90" t="s">
        <v>302</v>
      </c>
      <c r="B2138" s="89" t="s">
        <v>3681</v>
      </c>
      <c r="C2138" s="102" t="s">
        <v>1084</v>
      </c>
    </row>
    <row r="2139" spans="1:3" ht="15">
      <c r="A2139" s="90" t="s">
        <v>302</v>
      </c>
      <c r="B2139" s="89" t="s">
        <v>3682</v>
      </c>
      <c r="C2139" s="102" t="s">
        <v>1084</v>
      </c>
    </row>
    <row r="2140" spans="1:3" ht="15">
      <c r="A2140" s="90" t="s">
        <v>302</v>
      </c>
      <c r="B2140" s="89" t="s">
        <v>3141</v>
      </c>
      <c r="C2140" s="102" t="s">
        <v>1084</v>
      </c>
    </row>
    <row r="2141" spans="1:3" ht="15">
      <c r="A2141" s="90" t="s">
        <v>302</v>
      </c>
      <c r="B2141" s="89" t="s">
        <v>3201</v>
      </c>
      <c r="C2141" s="102" t="s">
        <v>1084</v>
      </c>
    </row>
    <row r="2142" spans="1:3" ht="15">
      <c r="A2142" s="90" t="s">
        <v>302</v>
      </c>
      <c r="B2142" s="89" t="s">
        <v>2682</v>
      </c>
      <c r="C2142" s="102" t="s">
        <v>1084</v>
      </c>
    </row>
    <row r="2143" spans="1:3" ht="15">
      <c r="A2143" s="90" t="s">
        <v>302</v>
      </c>
      <c r="B2143" s="89" t="s">
        <v>2720</v>
      </c>
      <c r="C2143" s="102" t="s">
        <v>1084</v>
      </c>
    </row>
    <row r="2144" spans="1:3" ht="15">
      <c r="A2144" s="90" t="s">
        <v>302</v>
      </c>
      <c r="B2144" s="89" t="s">
        <v>3683</v>
      </c>
      <c r="C2144" s="102" t="s">
        <v>1084</v>
      </c>
    </row>
    <row r="2145" spans="1:3" ht="15">
      <c r="A2145" s="90" t="s">
        <v>302</v>
      </c>
      <c r="B2145" s="89" t="s">
        <v>2721</v>
      </c>
      <c r="C2145" s="102" t="s">
        <v>1084</v>
      </c>
    </row>
    <row r="2146" spans="1:3" ht="15">
      <c r="A2146" s="90" t="s">
        <v>302</v>
      </c>
      <c r="B2146" s="89" t="s">
        <v>3684</v>
      </c>
      <c r="C2146" s="102" t="s">
        <v>1084</v>
      </c>
    </row>
    <row r="2147" spans="1:3" ht="15">
      <c r="A2147" s="90" t="s">
        <v>302</v>
      </c>
      <c r="B2147" s="89" t="s">
        <v>2723</v>
      </c>
      <c r="C2147" s="102" t="s">
        <v>1084</v>
      </c>
    </row>
    <row r="2148" spans="1:3" ht="15">
      <c r="A2148" s="90" t="s">
        <v>302</v>
      </c>
      <c r="B2148" s="89" t="s">
        <v>2724</v>
      </c>
      <c r="C2148" s="102" t="s">
        <v>1084</v>
      </c>
    </row>
    <row r="2149" spans="1:3" ht="15">
      <c r="A2149" s="90" t="s">
        <v>302</v>
      </c>
      <c r="B2149" s="89" t="s">
        <v>3685</v>
      </c>
      <c r="C2149" s="102" t="s">
        <v>1084</v>
      </c>
    </row>
    <row r="2150" spans="1:3" ht="15">
      <c r="A2150" s="90" t="s">
        <v>302</v>
      </c>
      <c r="B2150" s="89" t="s">
        <v>3355</v>
      </c>
      <c r="C2150" s="102" t="s">
        <v>1084</v>
      </c>
    </row>
    <row r="2151" spans="1:3" ht="15">
      <c r="A2151" s="90" t="s">
        <v>302</v>
      </c>
      <c r="B2151" s="89" t="s">
        <v>2670</v>
      </c>
      <c r="C2151" s="102" t="s">
        <v>1084</v>
      </c>
    </row>
    <row r="2152" spans="1:3" ht="15">
      <c r="A2152" s="90" t="s">
        <v>302</v>
      </c>
      <c r="B2152" s="89" t="s">
        <v>2671</v>
      </c>
      <c r="C2152" s="102" t="s">
        <v>1084</v>
      </c>
    </row>
    <row r="2153" spans="1:3" ht="15">
      <c r="A2153" s="90" t="s">
        <v>302</v>
      </c>
      <c r="B2153" s="89" t="s">
        <v>2666</v>
      </c>
      <c r="C2153" s="102" t="s">
        <v>1084</v>
      </c>
    </row>
    <row r="2154" spans="1:3" ht="15">
      <c r="A2154" s="90" t="s">
        <v>302</v>
      </c>
      <c r="B2154" s="89" t="s">
        <v>2664</v>
      </c>
      <c r="C2154" s="102" t="s">
        <v>1084</v>
      </c>
    </row>
    <row r="2155" spans="1:3" ht="15">
      <c r="A2155" s="90" t="s">
        <v>302</v>
      </c>
      <c r="B2155" s="89" t="s">
        <v>2667</v>
      </c>
      <c r="C2155" s="102" t="s">
        <v>1084</v>
      </c>
    </row>
    <row r="2156" spans="1:3" ht="15">
      <c r="A2156" s="90" t="s">
        <v>302</v>
      </c>
      <c r="B2156" s="89" t="s">
        <v>2663</v>
      </c>
      <c r="C2156" s="102" t="s">
        <v>1084</v>
      </c>
    </row>
    <row r="2157" spans="1:3" ht="15">
      <c r="A2157" s="90" t="s">
        <v>302</v>
      </c>
      <c r="B2157" s="89" t="s">
        <v>3137</v>
      </c>
      <c r="C2157" s="102" t="s">
        <v>1084</v>
      </c>
    </row>
    <row r="2158" spans="1:3" ht="15">
      <c r="A2158" s="90" t="s">
        <v>302</v>
      </c>
      <c r="B2158" s="89" t="s">
        <v>712</v>
      </c>
      <c r="C2158" s="102" t="s">
        <v>1084</v>
      </c>
    </row>
    <row r="2159" spans="1:3" ht="15">
      <c r="A2159" s="90" t="s">
        <v>302</v>
      </c>
      <c r="B2159" s="89" t="s">
        <v>3356</v>
      </c>
      <c r="C2159" s="102" t="s">
        <v>1084</v>
      </c>
    </row>
    <row r="2160" spans="1:3" ht="15">
      <c r="A2160" s="90" t="s">
        <v>302</v>
      </c>
      <c r="B2160" s="89" t="s">
        <v>2668</v>
      </c>
      <c r="C2160" s="102" t="s">
        <v>1084</v>
      </c>
    </row>
    <row r="2161" spans="1:3" ht="15">
      <c r="A2161" s="90" t="s">
        <v>302</v>
      </c>
      <c r="B2161" s="89" t="s">
        <v>3357</v>
      </c>
      <c r="C2161" s="102" t="s">
        <v>1084</v>
      </c>
    </row>
    <row r="2162" spans="1:3" ht="15">
      <c r="A2162" s="90" t="s">
        <v>302</v>
      </c>
      <c r="B2162" s="89" t="s">
        <v>2672</v>
      </c>
      <c r="C2162" s="102" t="s">
        <v>1084</v>
      </c>
    </row>
    <row r="2163" spans="1:3" ht="15">
      <c r="A2163" s="90" t="s">
        <v>302</v>
      </c>
      <c r="B2163" s="89" t="s">
        <v>2665</v>
      </c>
      <c r="C2163" s="102" t="s">
        <v>1084</v>
      </c>
    </row>
    <row r="2164" spans="1:3" ht="15">
      <c r="A2164" s="90" t="s">
        <v>301</v>
      </c>
      <c r="B2164" s="89" t="s">
        <v>466</v>
      </c>
      <c r="C2164" s="102" t="s">
        <v>1083</v>
      </c>
    </row>
    <row r="2165" spans="1:3" ht="15">
      <c r="A2165" s="90" t="s">
        <v>301</v>
      </c>
      <c r="B2165" s="89" t="s">
        <v>3895</v>
      </c>
      <c r="C2165" s="102" t="s">
        <v>1083</v>
      </c>
    </row>
    <row r="2166" spans="1:3" ht="15">
      <c r="A2166" s="90" t="s">
        <v>301</v>
      </c>
      <c r="B2166" s="89" t="s">
        <v>3141</v>
      </c>
      <c r="C2166" s="102" t="s">
        <v>1083</v>
      </c>
    </row>
    <row r="2167" spans="1:3" ht="15">
      <c r="A2167" s="90" t="s">
        <v>301</v>
      </c>
      <c r="B2167" s="89" t="s">
        <v>3896</v>
      </c>
      <c r="C2167" s="102" t="s">
        <v>1083</v>
      </c>
    </row>
    <row r="2168" spans="1:3" ht="15">
      <c r="A2168" s="90" t="s">
        <v>301</v>
      </c>
      <c r="B2168" s="89" t="s">
        <v>3897</v>
      </c>
      <c r="C2168" s="102" t="s">
        <v>1083</v>
      </c>
    </row>
    <row r="2169" spans="1:3" ht="15">
      <c r="A2169" s="90" t="s">
        <v>301</v>
      </c>
      <c r="B2169" s="89" t="s">
        <v>3898</v>
      </c>
      <c r="C2169" s="102" t="s">
        <v>1083</v>
      </c>
    </row>
    <row r="2170" spans="1:3" ht="15">
      <c r="A2170" s="90" t="s">
        <v>301</v>
      </c>
      <c r="B2170" s="89" t="s">
        <v>3309</v>
      </c>
      <c r="C2170" s="102" t="s">
        <v>1083</v>
      </c>
    </row>
    <row r="2171" spans="1:3" ht="15">
      <c r="A2171" s="90" t="s">
        <v>301</v>
      </c>
      <c r="B2171" s="89" t="s">
        <v>3358</v>
      </c>
      <c r="C2171" s="102" t="s">
        <v>1083</v>
      </c>
    </row>
    <row r="2172" spans="1:3" ht="15">
      <c r="A2172" s="90" t="s">
        <v>301</v>
      </c>
      <c r="B2172" s="89" t="s">
        <v>3899</v>
      </c>
      <c r="C2172" s="102" t="s">
        <v>1083</v>
      </c>
    </row>
    <row r="2173" spans="1:3" ht="15">
      <c r="A2173" s="90" t="s">
        <v>301</v>
      </c>
      <c r="B2173" s="89" t="s">
        <v>3900</v>
      </c>
      <c r="C2173" s="102" t="s">
        <v>1083</v>
      </c>
    </row>
    <row r="2174" spans="1:3" ht="15">
      <c r="A2174" s="90" t="s">
        <v>301</v>
      </c>
      <c r="B2174" s="89" t="s">
        <v>3901</v>
      </c>
      <c r="C2174" s="102" t="s">
        <v>1083</v>
      </c>
    </row>
    <row r="2175" spans="1:3" ht="15">
      <c r="A2175" s="90" t="s">
        <v>301</v>
      </c>
      <c r="B2175" s="89" t="s">
        <v>3305</v>
      </c>
      <c r="C2175" s="102" t="s">
        <v>1083</v>
      </c>
    </row>
    <row r="2176" spans="1:3" ht="15">
      <c r="A2176" s="90" t="s">
        <v>301</v>
      </c>
      <c r="B2176" s="89" t="s">
        <v>3902</v>
      </c>
      <c r="C2176" s="102" t="s">
        <v>1083</v>
      </c>
    </row>
    <row r="2177" spans="1:3" ht="15">
      <c r="A2177" s="90" t="s">
        <v>301</v>
      </c>
      <c r="B2177" s="89" t="s">
        <v>2768</v>
      </c>
      <c r="C2177" s="102" t="s">
        <v>1083</v>
      </c>
    </row>
    <row r="2178" spans="1:3" ht="15">
      <c r="A2178" s="90" t="s">
        <v>301</v>
      </c>
      <c r="B2178" s="89" t="s">
        <v>3903</v>
      </c>
      <c r="C2178" s="102" t="s">
        <v>1083</v>
      </c>
    </row>
    <row r="2179" spans="1:3" ht="15">
      <c r="A2179" s="90" t="s">
        <v>301</v>
      </c>
      <c r="B2179" s="89" t="s">
        <v>712</v>
      </c>
      <c r="C2179" s="102" t="s">
        <v>1083</v>
      </c>
    </row>
    <row r="2180" spans="1:3" ht="15">
      <c r="A2180" s="90" t="s">
        <v>301</v>
      </c>
      <c r="B2180" s="89" t="s">
        <v>3904</v>
      </c>
      <c r="C2180" s="102" t="s">
        <v>1083</v>
      </c>
    </row>
    <row r="2181" spans="1:3" ht="15">
      <c r="A2181" s="90" t="s">
        <v>301</v>
      </c>
      <c r="B2181" s="89" t="s">
        <v>3905</v>
      </c>
      <c r="C2181" s="102" t="s">
        <v>1083</v>
      </c>
    </row>
    <row r="2182" spans="1:3" ht="15">
      <c r="A2182" s="90" t="s">
        <v>301</v>
      </c>
      <c r="B2182" s="89" t="s">
        <v>2738</v>
      </c>
      <c r="C2182" s="102" t="s">
        <v>1083</v>
      </c>
    </row>
    <row r="2183" spans="1:3" ht="15">
      <c r="A2183" s="90" t="s">
        <v>301</v>
      </c>
      <c r="B2183" s="89">
        <v>19</v>
      </c>
      <c r="C2183" s="102" t="s">
        <v>1083</v>
      </c>
    </row>
    <row r="2184" spans="1:3" ht="15">
      <c r="A2184" s="90" t="s">
        <v>301</v>
      </c>
      <c r="B2184" s="89" t="s">
        <v>3906</v>
      </c>
      <c r="C2184" s="102" t="s">
        <v>1083</v>
      </c>
    </row>
    <row r="2185" spans="1:3" ht="15">
      <c r="A2185" s="90" t="s">
        <v>301</v>
      </c>
      <c r="B2185" s="89" t="s">
        <v>3907</v>
      </c>
      <c r="C2185" s="102" t="s">
        <v>1083</v>
      </c>
    </row>
    <row r="2186" spans="1:3" ht="15">
      <c r="A2186" s="90" t="s">
        <v>300</v>
      </c>
      <c r="B2186" s="89" t="s">
        <v>349</v>
      </c>
      <c r="C2186" s="102" t="s">
        <v>1082</v>
      </c>
    </row>
    <row r="2187" spans="1:3" ht="15">
      <c r="A2187" s="90" t="s">
        <v>300</v>
      </c>
      <c r="B2187" s="89" t="s">
        <v>3908</v>
      </c>
      <c r="C2187" s="102" t="s">
        <v>1082</v>
      </c>
    </row>
    <row r="2188" spans="1:3" ht="15">
      <c r="A2188" s="90" t="s">
        <v>300</v>
      </c>
      <c r="B2188" s="89" t="s">
        <v>3204</v>
      </c>
      <c r="C2188" s="102" t="s">
        <v>1082</v>
      </c>
    </row>
    <row r="2189" spans="1:3" ht="15">
      <c r="A2189" s="90" t="s">
        <v>300</v>
      </c>
      <c r="B2189" s="89" t="s">
        <v>3141</v>
      </c>
      <c r="C2189" s="102" t="s">
        <v>1082</v>
      </c>
    </row>
    <row r="2190" spans="1:3" ht="15">
      <c r="A2190" s="90" t="s">
        <v>300</v>
      </c>
      <c r="B2190" s="89" t="s">
        <v>3019</v>
      </c>
      <c r="C2190" s="102" t="s">
        <v>1082</v>
      </c>
    </row>
    <row r="2191" spans="1:3" ht="15">
      <c r="A2191" s="90" t="s">
        <v>300</v>
      </c>
      <c r="B2191" s="89" t="s">
        <v>3137</v>
      </c>
      <c r="C2191" s="102" t="s">
        <v>1082</v>
      </c>
    </row>
    <row r="2192" spans="1:3" ht="15">
      <c r="A2192" s="90" t="s">
        <v>300</v>
      </c>
      <c r="B2192" s="89" t="s">
        <v>3303</v>
      </c>
      <c r="C2192" s="102" t="s">
        <v>1082</v>
      </c>
    </row>
    <row r="2193" spans="1:3" ht="15">
      <c r="A2193" s="90" t="s">
        <v>300</v>
      </c>
      <c r="B2193" s="89" t="s">
        <v>2681</v>
      </c>
      <c r="C2193" s="102" t="s">
        <v>1082</v>
      </c>
    </row>
    <row r="2194" spans="1:3" ht="15">
      <c r="A2194" s="90" t="s">
        <v>300</v>
      </c>
      <c r="B2194" s="89" t="s">
        <v>3020</v>
      </c>
      <c r="C2194" s="102" t="s">
        <v>1082</v>
      </c>
    </row>
    <row r="2195" spans="1:3" ht="15">
      <c r="A2195" s="90" t="s">
        <v>299</v>
      </c>
      <c r="B2195" s="89" t="s">
        <v>3681</v>
      </c>
      <c r="C2195" s="102" t="s">
        <v>1081</v>
      </c>
    </row>
    <row r="2196" spans="1:3" ht="15">
      <c r="A2196" s="90" t="s">
        <v>299</v>
      </c>
      <c r="B2196" s="89" t="s">
        <v>3682</v>
      </c>
      <c r="C2196" s="102" t="s">
        <v>1081</v>
      </c>
    </row>
    <row r="2197" spans="1:3" ht="15">
      <c r="A2197" s="90" t="s">
        <v>299</v>
      </c>
      <c r="B2197" s="89" t="s">
        <v>3141</v>
      </c>
      <c r="C2197" s="102" t="s">
        <v>1081</v>
      </c>
    </row>
    <row r="2198" spans="1:3" ht="15">
      <c r="A2198" s="90" t="s">
        <v>299</v>
      </c>
      <c r="B2198" s="89" t="s">
        <v>3201</v>
      </c>
      <c r="C2198" s="102" t="s">
        <v>1081</v>
      </c>
    </row>
    <row r="2199" spans="1:3" ht="15">
      <c r="A2199" s="90" t="s">
        <v>299</v>
      </c>
      <c r="B2199" s="89" t="s">
        <v>2682</v>
      </c>
      <c r="C2199" s="102" t="s">
        <v>1081</v>
      </c>
    </row>
    <row r="2200" spans="1:3" ht="15">
      <c r="A2200" s="90" t="s">
        <v>299</v>
      </c>
      <c r="B2200" s="89" t="s">
        <v>2720</v>
      </c>
      <c r="C2200" s="102" t="s">
        <v>1081</v>
      </c>
    </row>
    <row r="2201" spans="1:3" ht="15">
      <c r="A2201" s="90" t="s">
        <v>299</v>
      </c>
      <c r="B2201" s="89" t="s">
        <v>3683</v>
      </c>
      <c r="C2201" s="102" t="s">
        <v>1081</v>
      </c>
    </row>
    <row r="2202" spans="1:3" ht="15">
      <c r="A2202" s="90" t="s">
        <v>299</v>
      </c>
      <c r="B2202" s="89" t="s">
        <v>2721</v>
      </c>
      <c r="C2202" s="102" t="s">
        <v>1081</v>
      </c>
    </row>
    <row r="2203" spans="1:3" ht="15">
      <c r="A2203" s="90" t="s">
        <v>299</v>
      </c>
      <c r="B2203" s="89" t="s">
        <v>3684</v>
      </c>
      <c r="C2203" s="102" t="s">
        <v>1081</v>
      </c>
    </row>
    <row r="2204" spans="1:3" ht="15">
      <c r="A2204" s="90" t="s">
        <v>299</v>
      </c>
      <c r="B2204" s="89" t="s">
        <v>2723</v>
      </c>
      <c r="C2204" s="102" t="s">
        <v>1081</v>
      </c>
    </row>
    <row r="2205" spans="1:3" ht="15">
      <c r="A2205" s="90" t="s">
        <v>299</v>
      </c>
      <c r="B2205" s="89" t="s">
        <v>2724</v>
      </c>
      <c r="C2205" s="102" t="s">
        <v>1081</v>
      </c>
    </row>
    <row r="2206" spans="1:3" ht="15">
      <c r="A2206" s="90" t="s">
        <v>299</v>
      </c>
      <c r="B2206" s="89" t="s">
        <v>3685</v>
      </c>
      <c r="C2206" s="102" t="s">
        <v>1081</v>
      </c>
    </row>
    <row r="2207" spans="1:3" ht="15">
      <c r="A2207" s="90" t="s">
        <v>299</v>
      </c>
      <c r="B2207" s="89" t="s">
        <v>3355</v>
      </c>
      <c r="C2207" s="102" t="s">
        <v>1081</v>
      </c>
    </row>
    <row r="2208" spans="1:3" ht="15">
      <c r="A2208" s="90" t="s">
        <v>299</v>
      </c>
      <c r="B2208" s="89" t="s">
        <v>2670</v>
      </c>
      <c r="C2208" s="102" t="s">
        <v>1081</v>
      </c>
    </row>
    <row r="2209" spans="1:3" ht="15">
      <c r="A2209" s="90" t="s">
        <v>299</v>
      </c>
      <c r="B2209" s="89" t="s">
        <v>2671</v>
      </c>
      <c r="C2209" s="102" t="s">
        <v>1081</v>
      </c>
    </row>
    <row r="2210" spans="1:3" ht="15">
      <c r="A2210" s="90" t="s">
        <v>299</v>
      </c>
      <c r="B2210" s="89" t="s">
        <v>2666</v>
      </c>
      <c r="C2210" s="102" t="s">
        <v>1081</v>
      </c>
    </row>
    <row r="2211" spans="1:3" ht="15">
      <c r="A2211" s="90" t="s">
        <v>299</v>
      </c>
      <c r="B2211" s="89" t="s">
        <v>2664</v>
      </c>
      <c r="C2211" s="102" t="s">
        <v>1081</v>
      </c>
    </row>
    <row r="2212" spans="1:3" ht="15">
      <c r="A2212" s="90" t="s">
        <v>299</v>
      </c>
      <c r="B2212" s="89" t="s">
        <v>2667</v>
      </c>
      <c r="C2212" s="102" t="s">
        <v>1081</v>
      </c>
    </row>
    <row r="2213" spans="1:3" ht="15">
      <c r="A2213" s="90" t="s">
        <v>299</v>
      </c>
      <c r="B2213" s="89" t="s">
        <v>2663</v>
      </c>
      <c r="C2213" s="102" t="s">
        <v>1081</v>
      </c>
    </row>
    <row r="2214" spans="1:3" ht="15">
      <c r="A2214" s="90" t="s">
        <v>299</v>
      </c>
      <c r="B2214" s="89" t="s">
        <v>3137</v>
      </c>
      <c r="C2214" s="102" t="s">
        <v>1081</v>
      </c>
    </row>
    <row r="2215" spans="1:3" ht="15">
      <c r="A2215" s="90" t="s">
        <v>299</v>
      </c>
      <c r="B2215" s="89" t="s">
        <v>712</v>
      </c>
      <c r="C2215" s="102" t="s">
        <v>1081</v>
      </c>
    </row>
    <row r="2216" spans="1:3" ht="15">
      <c r="A2216" s="90" t="s">
        <v>299</v>
      </c>
      <c r="B2216" s="89" t="s">
        <v>3356</v>
      </c>
      <c r="C2216" s="102" t="s">
        <v>1081</v>
      </c>
    </row>
    <row r="2217" spans="1:3" ht="15">
      <c r="A2217" s="90" t="s">
        <v>299</v>
      </c>
      <c r="B2217" s="89" t="s">
        <v>2668</v>
      </c>
      <c r="C2217" s="102" t="s">
        <v>1081</v>
      </c>
    </row>
    <row r="2218" spans="1:3" ht="15">
      <c r="A2218" s="90" t="s">
        <v>299</v>
      </c>
      <c r="B2218" s="89" t="s">
        <v>3357</v>
      </c>
      <c r="C2218" s="102" t="s">
        <v>1081</v>
      </c>
    </row>
    <row r="2219" spans="1:3" ht="15">
      <c r="A2219" s="90" t="s">
        <v>299</v>
      </c>
      <c r="B2219" s="89" t="s">
        <v>2672</v>
      </c>
      <c r="C2219" s="102" t="s">
        <v>1081</v>
      </c>
    </row>
    <row r="2220" spans="1:3" ht="15">
      <c r="A2220" s="90" t="s">
        <v>299</v>
      </c>
      <c r="B2220" s="89" t="s">
        <v>2665</v>
      </c>
      <c r="C2220" s="102" t="s">
        <v>1081</v>
      </c>
    </row>
    <row r="2221" spans="1:3" ht="15">
      <c r="A2221" s="90" t="s">
        <v>299</v>
      </c>
      <c r="B2221" s="89" t="s">
        <v>3355</v>
      </c>
      <c r="C2221" s="102" t="s">
        <v>1080</v>
      </c>
    </row>
    <row r="2222" spans="1:3" ht="15">
      <c r="A2222" s="90" t="s">
        <v>299</v>
      </c>
      <c r="B2222" s="89" t="s">
        <v>2670</v>
      </c>
      <c r="C2222" s="102" t="s">
        <v>1080</v>
      </c>
    </row>
    <row r="2223" spans="1:3" ht="15">
      <c r="A2223" s="90" t="s">
        <v>299</v>
      </c>
      <c r="B2223" s="89" t="s">
        <v>2671</v>
      </c>
      <c r="C2223" s="102" t="s">
        <v>1080</v>
      </c>
    </row>
    <row r="2224" spans="1:3" ht="15">
      <c r="A2224" s="90" t="s">
        <v>299</v>
      </c>
      <c r="B2224" s="89" t="s">
        <v>2666</v>
      </c>
      <c r="C2224" s="102" t="s">
        <v>1080</v>
      </c>
    </row>
    <row r="2225" spans="1:3" ht="15">
      <c r="A2225" s="90" t="s">
        <v>299</v>
      </c>
      <c r="B2225" s="89" t="s">
        <v>2664</v>
      </c>
      <c r="C2225" s="102" t="s">
        <v>1080</v>
      </c>
    </row>
    <row r="2226" spans="1:3" ht="15">
      <c r="A2226" s="90" t="s">
        <v>299</v>
      </c>
      <c r="B2226" s="89" t="s">
        <v>2667</v>
      </c>
      <c r="C2226" s="102" t="s">
        <v>1080</v>
      </c>
    </row>
    <row r="2227" spans="1:3" ht="15">
      <c r="A2227" s="90" t="s">
        <v>299</v>
      </c>
      <c r="B2227" s="89" t="s">
        <v>2663</v>
      </c>
      <c r="C2227" s="102" t="s">
        <v>1080</v>
      </c>
    </row>
    <row r="2228" spans="1:3" ht="15">
      <c r="A2228" s="90" t="s">
        <v>299</v>
      </c>
      <c r="B2228" s="89" t="s">
        <v>3137</v>
      </c>
      <c r="C2228" s="102" t="s">
        <v>1080</v>
      </c>
    </row>
    <row r="2229" spans="1:3" ht="15">
      <c r="A2229" s="90" t="s">
        <v>299</v>
      </c>
      <c r="B2229" s="89" t="s">
        <v>712</v>
      </c>
      <c r="C2229" s="102" t="s">
        <v>1080</v>
      </c>
    </row>
    <row r="2230" spans="1:3" ht="15">
      <c r="A2230" s="90" t="s">
        <v>299</v>
      </c>
      <c r="B2230" s="89" t="s">
        <v>3356</v>
      </c>
      <c r="C2230" s="102" t="s">
        <v>1080</v>
      </c>
    </row>
    <row r="2231" spans="1:3" ht="15">
      <c r="A2231" s="90" t="s">
        <v>299</v>
      </c>
      <c r="B2231" s="89" t="s">
        <v>2668</v>
      </c>
      <c r="C2231" s="102" t="s">
        <v>1080</v>
      </c>
    </row>
    <row r="2232" spans="1:3" ht="15">
      <c r="A2232" s="90" t="s">
        <v>299</v>
      </c>
      <c r="B2232" s="89" t="s">
        <v>3357</v>
      </c>
      <c r="C2232" s="102" t="s">
        <v>1080</v>
      </c>
    </row>
    <row r="2233" spans="1:3" ht="15">
      <c r="A2233" s="90" t="s">
        <v>299</v>
      </c>
      <c r="B2233" s="89" t="s">
        <v>2672</v>
      </c>
      <c r="C2233" s="102" t="s">
        <v>1080</v>
      </c>
    </row>
    <row r="2234" spans="1:3" ht="15">
      <c r="A2234" s="90" t="s">
        <v>299</v>
      </c>
      <c r="B2234" s="89" t="s">
        <v>2665</v>
      </c>
      <c r="C2234" s="102" t="s">
        <v>1080</v>
      </c>
    </row>
    <row r="2235" spans="1:3" ht="15">
      <c r="A2235" s="90" t="s">
        <v>299</v>
      </c>
      <c r="B2235" s="89" t="s">
        <v>3909</v>
      </c>
      <c r="C2235" s="102" t="s">
        <v>1079</v>
      </c>
    </row>
    <row r="2236" spans="1:3" ht="15">
      <c r="A2236" s="90" t="s">
        <v>299</v>
      </c>
      <c r="B2236" s="89" t="s">
        <v>3475</v>
      </c>
      <c r="C2236" s="102" t="s">
        <v>1079</v>
      </c>
    </row>
    <row r="2237" spans="1:3" ht="15">
      <c r="A2237" s="90" t="s">
        <v>299</v>
      </c>
      <c r="B2237" s="89" t="s">
        <v>2877</v>
      </c>
      <c r="C2237" s="102" t="s">
        <v>1079</v>
      </c>
    </row>
    <row r="2238" spans="1:3" ht="15">
      <c r="A2238" s="90" t="s">
        <v>299</v>
      </c>
      <c r="B2238" s="89" t="s">
        <v>2714</v>
      </c>
      <c r="C2238" s="102" t="s">
        <v>1079</v>
      </c>
    </row>
    <row r="2239" spans="1:3" ht="15">
      <c r="A2239" s="90" t="s">
        <v>299</v>
      </c>
      <c r="B2239" s="89" t="s">
        <v>2878</v>
      </c>
      <c r="C2239" s="102" t="s">
        <v>1079</v>
      </c>
    </row>
    <row r="2240" spans="1:3" ht="15">
      <c r="A2240" s="90" t="s">
        <v>299</v>
      </c>
      <c r="B2240" s="89" t="s">
        <v>2879</v>
      </c>
      <c r="C2240" s="102" t="s">
        <v>1079</v>
      </c>
    </row>
    <row r="2241" spans="1:3" ht="15">
      <c r="A2241" s="90" t="s">
        <v>299</v>
      </c>
      <c r="B2241" s="89" t="s">
        <v>2880</v>
      </c>
      <c r="C2241" s="102" t="s">
        <v>1079</v>
      </c>
    </row>
    <row r="2242" spans="1:3" ht="15">
      <c r="A2242" s="90" t="s">
        <v>299</v>
      </c>
      <c r="B2242" s="89" t="s">
        <v>3137</v>
      </c>
      <c r="C2242" s="102" t="s">
        <v>1079</v>
      </c>
    </row>
    <row r="2243" spans="1:3" ht="15">
      <c r="A2243" s="90" t="s">
        <v>299</v>
      </c>
      <c r="B2243" s="89" t="s">
        <v>2881</v>
      </c>
      <c r="C2243" s="102" t="s">
        <v>1079</v>
      </c>
    </row>
    <row r="2244" spans="1:3" ht="15">
      <c r="A2244" s="90" t="s">
        <v>299</v>
      </c>
      <c r="B2244" s="89" t="s">
        <v>3211</v>
      </c>
      <c r="C2244" s="102" t="s">
        <v>1079</v>
      </c>
    </row>
    <row r="2245" spans="1:3" ht="15">
      <c r="A2245" s="90" t="s">
        <v>299</v>
      </c>
      <c r="B2245" s="89" t="s">
        <v>2882</v>
      </c>
      <c r="C2245" s="102" t="s">
        <v>1079</v>
      </c>
    </row>
    <row r="2246" spans="1:3" ht="15">
      <c r="A2246" s="90" t="s">
        <v>299</v>
      </c>
      <c r="B2246" s="89" t="s">
        <v>3910</v>
      </c>
      <c r="C2246" s="102" t="s">
        <v>1079</v>
      </c>
    </row>
    <row r="2247" spans="1:3" ht="15">
      <c r="A2247" s="90" t="s">
        <v>299</v>
      </c>
      <c r="B2247" s="89" t="s">
        <v>2883</v>
      </c>
      <c r="C2247" s="102" t="s">
        <v>1079</v>
      </c>
    </row>
    <row r="2248" spans="1:3" ht="15">
      <c r="A2248" s="90" t="s">
        <v>299</v>
      </c>
      <c r="B2248" s="89" t="s">
        <v>3141</v>
      </c>
      <c r="C2248" s="102" t="s">
        <v>1079</v>
      </c>
    </row>
    <row r="2249" spans="1:3" ht="15">
      <c r="A2249" s="90" t="s">
        <v>299</v>
      </c>
      <c r="B2249" s="89" t="s">
        <v>2791</v>
      </c>
      <c r="C2249" s="102" t="s">
        <v>1079</v>
      </c>
    </row>
    <row r="2250" spans="1:3" ht="15">
      <c r="A2250" s="90" t="s">
        <v>299</v>
      </c>
      <c r="B2250" s="89" t="s">
        <v>3911</v>
      </c>
      <c r="C2250" s="102" t="s">
        <v>1079</v>
      </c>
    </row>
    <row r="2251" spans="1:3" ht="15">
      <c r="A2251" s="90" t="s">
        <v>299</v>
      </c>
      <c r="B2251" s="89" t="s">
        <v>2786</v>
      </c>
      <c r="C2251" s="102" t="s">
        <v>1079</v>
      </c>
    </row>
    <row r="2252" spans="1:3" ht="15">
      <c r="A2252" s="90" t="s">
        <v>299</v>
      </c>
      <c r="B2252" s="89" t="s">
        <v>2885</v>
      </c>
      <c r="C2252" s="102" t="s">
        <v>1079</v>
      </c>
    </row>
    <row r="2253" spans="1:3" ht="15">
      <c r="A2253" s="90" t="s">
        <v>299</v>
      </c>
      <c r="B2253" s="89" t="s">
        <v>3912</v>
      </c>
      <c r="C2253" s="102" t="s">
        <v>1079</v>
      </c>
    </row>
    <row r="2254" spans="1:3" ht="15">
      <c r="A2254" s="90" t="s">
        <v>299</v>
      </c>
      <c r="B2254" s="89" t="s">
        <v>2886</v>
      </c>
      <c r="C2254" s="102" t="s">
        <v>1079</v>
      </c>
    </row>
    <row r="2255" spans="1:3" ht="15">
      <c r="A2255" s="90" t="s">
        <v>299</v>
      </c>
      <c r="B2255" s="89" t="s">
        <v>2887</v>
      </c>
      <c r="C2255" s="102" t="s">
        <v>1079</v>
      </c>
    </row>
    <row r="2256" spans="1:3" ht="15">
      <c r="A2256" s="90" t="s">
        <v>299</v>
      </c>
      <c r="B2256" s="89" t="s">
        <v>3313</v>
      </c>
      <c r="C2256" s="102" t="s">
        <v>1079</v>
      </c>
    </row>
    <row r="2257" spans="1:3" ht="15">
      <c r="A2257" s="90" t="s">
        <v>299</v>
      </c>
      <c r="B2257" s="89" t="s">
        <v>2888</v>
      </c>
      <c r="C2257" s="102" t="s">
        <v>1079</v>
      </c>
    </row>
    <row r="2258" spans="1:3" ht="15">
      <c r="A2258" s="90" t="s">
        <v>299</v>
      </c>
      <c r="B2258" s="89" t="s">
        <v>2889</v>
      </c>
      <c r="C2258" s="102" t="s">
        <v>1079</v>
      </c>
    </row>
    <row r="2259" spans="1:3" ht="15">
      <c r="A2259" s="90" t="s">
        <v>299</v>
      </c>
      <c r="B2259" s="89" t="s">
        <v>2708</v>
      </c>
      <c r="C2259" s="102" t="s">
        <v>1079</v>
      </c>
    </row>
    <row r="2260" spans="1:3" ht="15">
      <c r="A2260" s="90" t="s">
        <v>299</v>
      </c>
      <c r="B2260" s="89" t="s">
        <v>712</v>
      </c>
      <c r="C2260" s="102" t="s">
        <v>1079</v>
      </c>
    </row>
    <row r="2261" spans="1:3" ht="15">
      <c r="A2261" s="90" t="s">
        <v>298</v>
      </c>
      <c r="B2261" s="89" t="s">
        <v>3245</v>
      </c>
      <c r="C2261" s="102" t="s">
        <v>1078</v>
      </c>
    </row>
    <row r="2262" spans="1:3" ht="15">
      <c r="A2262" s="90" t="s">
        <v>298</v>
      </c>
      <c r="B2262" s="89" t="s">
        <v>3247</v>
      </c>
      <c r="C2262" s="102" t="s">
        <v>1078</v>
      </c>
    </row>
    <row r="2263" spans="1:3" ht="15">
      <c r="A2263" s="90" t="s">
        <v>298</v>
      </c>
      <c r="B2263" s="89" t="s">
        <v>3913</v>
      </c>
      <c r="C2263" s="102" t="s">
        <v>1078</v>
      </c>
    </row>
    <row r="2264" spans="1:3" ht="15">
      <c r="A2264" s="90" t="s">
        <v>298</v>
      </c>
      <c r="B2264" s="89" t="s">
        <v>3206</v>
      </c>
      <c r="C2264" s="102" t="s">
        <v>1078</v>
      </c>
    </row>
    <row r="2265" spans="1:3" ht="15">
      <c r="A2265" s="90" t="s">
        <v>298</v>
      </c>
      <c r="B2265" s="89" t="s">
        <v>3404</v>
      </c>
      <c r="C2265" s="102" t="s">
        <v>1078</v>
      </c>
    </row>
    <row r="2266" spans="1:3" ht="15">
      <c r="A2266" s="90" t="s">
        <v>298</v>
      </c>
      <c r="B2266" s="89" t="s">
        <v>3465</v>
      </c>
      <c r="C2266" s="102" t="s">
        <v>1078</v>
      </c>
    </row>
    <row r="2267" spans="1:3" ht="15">
      <c r="A2267" s="90" t="s">
        <v>298</v>
      </c>
      <c r="B2267" s="89" t="s">
        <v>3021</v>
      </c>
      <c r="C2267" s="102" t="s">
        <v>1078</v>
      </c>
    </row>
    <row r="2268" spans="1:3" ht="15">
      <c r="A2268" s="90" t="s">
        <v>298</v>
      </c>
      <c r="B2268" s="89" t="s">
        <v>3914</v>
      </c>
      <c r="C2268" s="102" t="s">
        <v>1078</v>
      </c>
    </row>
    <row r="2269" spans="1:3" ht="15">
      <c r="A2269" s="90" t="s">
        <v>298</v>
      </c>
      <c r="B2269" s="89" t="s">
        <v>3915</v>
      </c>
      <c r="C2269" s="102" t="s">
        <v>1078</v>
      </c>
    </row>
    <row r="2270" spans="1:3" ht="15">
      <c r="A2270" s="90" t="s">
        <v>298</v>
      </c>
      <c r="B2270" s="89" t="s">
        <v>3196</v>
      </c>
      <c r="C2270" s="102" t="s">
        <v>1078</v>
      </c>
    </row>
    <row r="2271" spans="1:3" ht="15">
      <c r="A2271" s="90" t="s">
        <v>298</v>
      </c>
      <c r="B2271" s="89" t="s">
        <v>3916</v>
      </c>
      <c r="C2271" s="102" t="s">
        <v>1078</v>
      </c>
    </row>
    <row r="2272" spans="1:3" ht="15">
      <c r="A2272" s="90" t="s">
        <v>298</v>
      </c>
      <c r="B2272" s="89" t="s">
        <v>3917</v>
      </c>
      <c r="C2272" s="102" t="s">
        <v>1078</v>
      </c>
    </row>
    <row r="2273" spans="1:3" ht="15">
      <c r="A2273" s="90" t="s">
        <v>298</v>
      </c>
      <c r="B2273" s="89" t="s">
        <v>2782</v>
      </c>
      <c r="C2273" s="102" t="s">
        <v>1078</v>
      </c>
    </row>
    <row r="2274" spans="1:3" ht="15">
      <c r="A2274" s="90" t="s">
        <v>298</v>
      </c>
      <c r="B2274" s="89" t="s">
        <v>3153</v>
      </c>
      <c r="C2274" s="102" t="s">
        <v>1078</v>
      </c>
    </row>
    <row r="2275" spans="1:3" ht="15">
      <c r="A2275" s="90" t="s">
        <v>298</v>
      </c>
      <c r="B2275" s="89" t="s">
        <v>3204</v>
      </c>
      <c r="C2275" s="102" t="s">
        <v>1078</v>
      </c>
    </row>
    <row r="2276" spans="1:3" ht="15">
      <c r="A2276" s="90" t="s">
        <v>298</v>
      </c>
      <c r="B2276" s="89" t="s">
        <v>2843</v>
      </c>
      <c r="C2276" s="102" t="s">
        <v>1078</v>
      </c>
    </row>
    <row r="2277" spans="1:3" ht="15">
      <c r="A2277" s="90" t="s">
        <v>298</v>
      </c>
      <c r="B2277" s="89" t="s">
        <v>3918</v>
      </c>
      <c r="C2277" s="102" t="s">
        <v>1078</v>
      </c>
    </row>
    <row r="2278" spans="1:3" ht="15">
      <c r="A2278" s="90" t="s">
        <v>298</v>
      </c>
      <c r="B2278" s="89" t="s">
        <v>3321</v>
      </c>
      <c r="C2278" s="102" t="s">
        <v>1078</v>
      </c>
    </row>
    <row r="2279" spans="1:3" ht="15">
      <c r="A2279" s="90" t="s">
        <v>298</v>
      </c>
      <c r="B2279" s="89" t="s">
        <v>3919</v>
      </c>
      <c r="C2279" s="102" t="s">
        <v>1078</v>
      </c>
    </row>
    <row r="2280" spans="1:3" ht="15">
      <c r="A2280" s="90" t="s">
        <v>298</v>
      </c>
      <c r="B2280" s="89" t="s">
        <v>3783</v>
      </c>
      <c r="C2280" s="102" t="s">
        <v>1078</v>
      </c>
    </row>
    <row r="2281" spans="1:3" ht="15">
      <c r="A2281" s="90" t="s">
        <v>298</v>
      </c>
      <c r="B2281" s="89" t="s">
        <v>3920</v>
      </c>
      <c r="C2281" s="102" t="s">
        <v>1078</v>
      </c>
    </row>
    <row r="2282" spans="1:3" ht="15">
      <c r="A2282" s="90" t="s">
        <v>298</v>
      </c>
      <c r="B2282" s="89" t="s">
        <v>3921</v>
      </c>
      <c r="C2282" s="102" t="s">
        <v>1078</v>
      </c>
    </row>
    <row r="2283" spans="1:3" ht="15">
      <c r="A2283" s="90" t="s">
        <v>298</v>
      </c>
      <c r="B2283" s="89" t="s">
        <v>3137</v>
      </c>
      <c r="C2283" s="102" t="s">
        <v>1078</v>
      </c>
    </row>
    <row r="2284" spans="1:3" ht="15">
      <c r="A2284" s="90" t="s">
        <v>298</v>
      </c>
      <c r="B2284" s="89" t="s">
        <v>3302</v>
      </c>
      <c r="C2284" s="102" t="s">
        <v>1078</v>
      </c>
    </row>
    <row r="2285" spans="1:3" ht="15">
      <c r="A2285" s="90" t="s">
        <v>298</v>
      </c>
      <c r="B2285" s="89" t="s">
        <v>3922</v>
      </c>
      <c r="C2285" s="102" t="s">
        <v>1078</v>
      </c>
    </row>
    <row r="2286" spans="1:3" ht="15">
      <c r="A2286" s="90" t="s">
        <v>298</v>
      </c>
      <c r="B2286" s="89" t="s">
        <v>3656</v>
      </c>
      <c r="C2286" s="102" t="s">
        <v>1078</v>
      </c>
    </row>
    <row r="2287" spans="1:3" ht="15">
      <c r="A2287" s="90" t="s">
        <v>298</v>
      </c>
      <c r="B2287" s="89" t="s">
        <v>3022</v>
      </c>
      <c r="C2287" s="102" t="s">
        <v>1078</v>
      </c>
    </row>
    <row r="2288" spans="1:3" ht="15">
      <c r="A2288" s="90" t="s">
        <v>298</v>
      </c>
      <c r="B2288" s="89" t="s">
        <v>3299</v>
      </c>
      <c r="C2288" s="102" t="s">
        <v>1078</v>
      </c>
    </row>
    <row r="2289" spans="1:3" ht="15">
      <c r="A2289" s="90" t="s">
        <v>298</v>
      </c>
      <c r="B2289" s="89" t="s">
        <v>3155</v>
      </c>
      <c r="C2289" s="102" t="s">
        <v>1078</v>
      </c>
    </row>
    <row r="2290" spans="1:3" ht="15">
      <c r="A2290" s="90" t="s">
        <v>298</v>
      </c>
      <c r="B2290" s="89" t="s">
        <v>3923</v>
      </c>
      <c r="C2290" s="102" t="s">
        <v>1078</v>
      </c>
    </row>
    <row r="2291" spans="1:3" ht="15">
      <c r="A2291" s="90" t="s">
        <v>298</v>
      </c>
      <c r="B2291" s="89" t="s">
        <v>3924</v>
      </c>
      <c r="C2291" s="102" t="s">
        <v>1078</v>
      </c>
    </row>
    <row r="2292" spans="1:3" ht="15">
      <c r="A2292" s="90" t="s">
        <v>298</v>
      </c>
      <c r="B2292" s="89" t="s">
        <v>3925</v>
      </c>
      <c r="C2292" s="102" t="s">
        <v>1078</v>
      </c>
    </row>
    <row r="2293" spans="1:3" ht="15">
      <c r="A2293" s="90" t="s">
        <v>298</v>
      </c>
      <c r="B2293" s="89" t="s">
        <v>3926</v>
      </c>
      <c r="C2293" s="102" t="s">
        <v>1078</v>
      </c>
    </row>
    <row r="2294" spans="1:3" ht="15">
      <c r="A2294" s="90" t="s">
        <v>298</v>
      </c>
      <c r="B2294" s="89" t="s">
        <v>3927</v>
      </c>
      <c r="C2294" s="102" t="s">
        <v>1078</v>
      </c>
    </row>
    <row r="2295" spans="1:3" ht="15">
      <c r="A2295" s="90" t="s">
        <v>298</v>
      </c>
      <c r="B2295" s="89" t="s">
        <v>2706</v>
      </c>
      <c r="C2295" s="102" t="s">
        <v>1078</v>
      </c>
    </row>
    <row r="2296" spans="1:3" ht="15">
      <c r="A2296" s="90" t="s">
        <v>297</v>
      </c>
      <c r="B2296" s="89" t="s">
        <v>3928</v>
      </c>
      <c r="C2296" s="102" t="s">
        <v>1074</v>
      </c>
    </row>
    <row r="2297" spans="1:3" ht="15">
      <c r="A2297" s="90" t="s">
        <v>297</v>
      </c>
      <c r="B2297" s="89" t="s">
        <v>350</v>
      </c>
      <c r="C2297" s="102" t="s">
        <v>1074</v>
      </c>
    </row>
    <row r="2298" spans="1:3" ht="15">
      <c r="A2298" s="90" t="s">
        <v>297</v>
      </c>
      <c r="B2298" s="89" t="s">
        <v>3929</v>
      </c>
      <c r="C2298" s="102" t="s">
        <v>1074</v>
      </c>
    </row>
    <row r="2299" spans="1:3" ht="15">
      <c r="A2299" s="90" t="s">
        <v>297</v>
      </c>
      <c r="B2299" s="89" t="s">
        <v>3930</v>
      </c>
      <c r="C2299" s="102" t="s">
        <v>1074</v>
      </c>
    </row>
    <row r="2300" spans="1:3" ht="15">
      <c r="A2300" s="90" t="s">
        <v>297</v>
      </c>
      <c r="B2300" s="89" t="s">
        <v>3931</v>
      </c>
      <c r="C2300" s="102" t="s">
        <v>1074</v>
      </c>
    </row>
    <row r="2301" spans="1:3" ht="15">
      <c r="A2301" s="90" t="s">
        <v>297</v>
      </c>
      <c r="B2301" s="89" t="s">
        <v>3932</v>
      </c>
      <c r="C2301" s="102" t="s">
        <v>1074</v>
      </c>
    </row>
    <row r="2302" spans="1:3" ht="15">
      <c r="A2302" s="90" t="s">
        <v>297</v>
      </c>
      <c r="B2302" s="89" t="s">
        <v>3933</v>
      </c>
      <c r="C2302" s="102" t="s">
        <v>1074</v>
      </c>
    </row>
    <row r="2303" spans="1:3" ht="15">
      <c r="A2303" s="90" t="s">
        <v>297</v>
      </c>
      <c r="B2303" s="89" t="s">
        <v>3934</v>
      </c>
      <c r="C2303" s="102" t="s">
        <v>1074</v>
      </c>
    </row>
    <row r="2304" spans="1:3" ht="15">
      <c r="A2304" s="90" t="s">
        <v>297</v>
      </c>
      <c r="B2304" s="89" t="s">
        <v>2681</v>
      </c>
      <c r="C2304" s="102" t="s">
        <v>1074</v>
      </c>
    </row>
    <row r="2305" spans="1:3" ht="15">
      <c r="A2305" s="90" t="s">
        <v>297</v>
      </c>
      <c r="B2305" s="89" t="s">
        <v>2753</v>
      </c>
      <c r="C2305" s="102" t="s">
        <v>1074</v>
      </c>
    </row>
    <row r="2306" spans="1:3" ht="15">
      <c r="A2306" s="90" t="s">
        <v>297</v>
      </c>
      <c r="B2306" s="89" t="s">
        <v>2792</v>
      </c>
      <c r="C2306" s="102" t="s">
        <v>1074</v>
      </c>
    </row>
    <row r="2307" spans="1:3" ht="15">
      <c r="A2307" s="90" t="s">
        <v>297</v>
      </c>
      <c r="B2307" s="89" t="s">
        <v>3023</v>
      </c>
      <c r="C2307" s="102" t="s">
        <v>1074</v>
      </c>
    </row>
    <row r="2308" spans="1:3" ht="15">
      <c r="A2308" s="90" t="s">
        <v>297</v>
      </c>
      <c r="B2308" s="89" t="s">
        <v>3204</v>
      </c>
      <c r="C2308" s="102" t="s">
        <v>1074</v>
      </c>
    </row>
    <row r="2309" spans="1:3" ht="15">
      <c r="A2309" s="90" t="s">
        <v>297</v>
      </c>
      <c r="B2309" s="89" t="s">
        <v>3024</v>
      </c>
      <c r="C2309" s="102" t="s">
        <v>1074</v>
      </c>
    </row>
    <row r="2310" spans="1:3" ht="15">
      <c r="A2310" s="90" t="s">
        <v>297</v>
      </c>
      <c r="B2310" s="89" t="s">
        <v>3935</v>
      </c>
      <c r="C2310" s="102" t="s">
        <v>1074</v>
      </c>
    </row>
    <row r="2311" spans="1:3" ht="15">
      <c r="A2311" s="90" t="s">
        <v>297</v>
      </c>
      <c r="B2311" s="89" t="s">
        <v>3320</v>
      </c>
      <c r="C2311" s="102" t="s">
        <v>1074</v>
      </c>
    </row>
    <row r="2312" spans="1:3" ht="15">
      <c r="A2312" s="90" t="s">
        <v>297</v>
      </c>
      <c r="B2312" s="89" t="s">
        <v>3936</v>
      </c>
      <c r="C2312" s="102" t="s">
        <v>1074</v>
      </c>
    </row>
    <row r="2313" spans="1:3" ht="15">
      <c r="A2313" s="90" t="s">
        <v>297</v>
      </c>
      <c r="B2313" s="89" t="s">
        <v>3937</v>
      </c>
      <c r="C2313" s="102" t="s">
        <v>1074</v>
      </c>
    </row>
    <row r="2314" spans="1:3" ht="15">
      <c r="A2314" s="90" t="s">
        <v>297</v>
      </c>
      <c r="B2314" s="89" t="s">
        <v>3938</v>
      </c>
      <c r="C2314" s="102" t="s">
        <v>1074</v>
      </c>
    </row>
    <row r="2315" spans="1:3" ht="15">
      <c r="A2315" s="90" t="s">
        <v>297</v>
      </c>
      <c r="B2315" s="89" t="s">
        <v>3939</v>
      </c>
      <c r="C2315" s="102" t="s">
        <v>1074</v>
      </c>
    </row>
    <row r="2316" spans="1:3" ht="15">
      <c r="A2316" s="90" t="s">
        <v>297</v>
      </c>
      <c r="B2316" s="89" t="s">
        <v>3137</v>
      </c>
      <c r="C2316" s="102" t="s">
        <v>1074</v>
      </c>
    </row>
    <row r="2317" spans="1:3" ht="15">
      <c r="A2317" s="90" t="s">
        <v>297</v>
      </c>
      <c r="B2317" s="89" t="s">
        <v>3304</v>
      </c>
      <c r="C2317" s="102" t="s">
        <v>1074</v>
      </c>
    </row>
    <row r="2318" spans="1:3" ht="15">
      <c r="A2318" s="90" t="s">
        <v>297</v>
      </c>
      <c r="B2318" s="89" t="s">
        <v>3940</v>
      </c>
      <c r="C2318" s="102" t="s">
        <v>1074</v>
      </c>
    </row>
    <row r="2319" spans="1:3" ht="15">
      <c r="A2319" s="90" t="s">
        <v>297</v>
      </c>
      <c r="B2319" s="89" t="s">
        <v>3385</v>
      </c>
      <c r="C2319" s="102" t="s">
        <v>1074</v>
      </c>
    </row>
    <row r="2320" spans="1:3" ht="15">
      <c r="A2320" s="90" t="s">
        <v>297</v>
      </c>
      <c r="B2320" s="89" t="s">
        <v>3141</v>
      </c>
      <c r="C2320" s="102" t="s">
        <v>1074</v>
      </c>
    </row>
    <row r="2321" spans="1:3" ht="15">
      <c r="A2321" s="90" t="s">
        <v>297</v>
      </c>
      <c r="B2321" s="89" t="s">
        <v>3941</v>
      </c>
      <c r="C2321" s="102" t="s">
        <v>1074</v>
      </c>
    </row>
    <row r="2322" spans="1:3" ht="15">
      <c r="A2322" s="90" t="s">
        <v>297</v>
      </c>
      <c r="B2322" s="89" t="s">
        <v>3942</v>
      </c>
      <c r="C2322" s="102" t="s">
        <v>1074</v>
      </c>
    </row>
    <row r="2323" spans="1:3" ht="15">
      <c r="A2323" s="90" t="s">
        <v>297</v>
      </c>
      <c r="B2323" s="89" t="s">
        <v>3943</v>
      </c>
      <c r="C2323" s="102" t="s">
        <v>1074</v>
      </c>
    </row>
    <row r="2324" spans="1:3" ht="15">
      <c r="A2324" s="90" t="s">
        <v>297</v>
      </c>
      <c r="B2324" s="89" t="s">
        <v>3944</v>
      </c>
      <c r="C2324" s="102" t="s">
        <v>1074</v>
      </c>
    </row>
    <row r="2325" spans="1:3" ht="15">
      <c r="A2325" s="90" t="s">
        <v>297</v>
      </c>
      <c r="B2325" s="89" t="s">
        <v>3945</v>
      </c>
      <c r="C2325" s="102" t="s">
        <v>1074</v>
      </c>
    </row>
    <row r="2326" spans="1:3" ht="15">
      <c r="A2326" s="90" t="s">
        <v>297</v>
      </c>
      <c r="B2326" s="89" t="s">
        <v>3946</v>
      </c>
      <c r="C2326" s="102" t="s">
        <v>1074</v>
      </c>
    </row>
    <row r="2327" spans="1:3" ht="15">
      <c r="A2327" s="90" t="s">
        <v>297</v>
      </c>
      <c r="B2327" s="89" t="s">
        <v>1637</v>
      </c>
      <c r="C2327" s="102" t="s">
        <v>1077</v>
      </c>
    </row>
    <row r="2328" spans="1:3" ht="15">
      <c r="A2328" s="90" t="s">
        <v>297</v>
      </c>
      <c r="B2328" s="89" t="s">
        <v>3245</v>
      </c>
      <c r="C2328" s="102" t="s">
        <v>1077</v>
      </c>
    </row>
    <row r="2329" spans="1:3" ht="15">
      <c r="A2329" s="90" t="s">
        <v>297</v>
      </c>
      <c r="B2329" s="89" t="s">
        <v>465</v>
      </c>
      <c r="C2329" s="102" t="s">
        <v>1077</v>
      </c>
    </row>
    <row r="2330" spans="1:3" ht="15">
      <c r="A2330" s="90" t="s">
        <v>297</v>
      </c>
      <c r="B2330" s="89" t="s">
        <v>3247</v>
      </c>
      <c r="C2330" s="102" t="s">
        <v>1077</v>
      </c>
    </row>
    <row r="2331" spans="1:3" ht="15">
      <c r="A2331" s="90" t="s">
        <v>297</v>
      </c>
      <c r="B2331" s="89" t="s">
        <v>3947</v>
      </c>
      <c r="C2331" s="102" t="s">
        <v>1077</v>
      </c>
    </row>
    <row r="2332" spans="1:3" ht="15">
      <c r="A2332" s="90" t="s">
        <v>297</v>
      </c>
      <c r="B2332" s="89" t="s">
        <v>3204</v>
      </c>
      <c r="C2332" s="102" t="s">
        <v>1077</v>
      </c>
    </row>
    <row r="2333" spans="1:3" ht="15">
      <c r="A2333" s="90" t="s">
        <v>297</v>
      </c>
      <c r="B2333" s="89" t="s">
        <v>3141</v>
      </c>
      <c r="C2333" s="102" t="s">
        <v>1077</v>
      </c>
    </row>
    <row r="2334" spans="1:3" ht="15">
      <c r="A2334" s="90" t="s">
        <v>297</v>
      </c>
      <c r="B2334" s="89" t="s">
        <v>3303</v>
      </c>
      <c r="C2334" s="102" t="s">
        <v>1077</v>
      </c>
    </row>
    <row r="2335" spans="1:3" ht="15">
      <c r="A2335" s="90" t="s">
        <v>297</v>
      </c>
      <c r="B2335" s="89" t="s">
        <v>2781</v>
      </c>
      <c r="C2335" s="102" t="s">
        <v>1077</v>
      </c>
    </row>
    <row r="2336" spans="1:3" ht="15">
      <c r="A2336" s="90" t="s">
        <v>297</v>
      </c>
      <c r="B2336" s="89" t="s">
        <v>3153</v>
      </c>
      <c r="C2336" s="102" t="s">
        <v>1077</v>
      </c>
    </row>
    <row r="2337" spans="1:3" ht="15">
      <c r="A2337" s="90" t="s">
        <v>297</v>
      </c>
      <c r="B2337" s="89" t="s">
        <v>3346</v>
      </c>
      <c r="C2337" s="102" t="s">
        <v>1077</v>
      </c>
    </row>
    <row r="2338" spans="1:3" ht="15">
      <c r="A2338" s="90" t="s">
        <v>297</v>
      </c>
      <c r="B2338" s="89" t="s">
        <v>3538</v>
      </c>
      <c r="C2338" s="102" t="s">
        <v>1077</v>
      </c>
    </row>
    <row r="2339" spans="1:3" ht="15">
      <c r="A2339" s="90" t="s">
        <v>297</v>
      </c>
      <c r="B2339" s="89" t="s">
        <v>3948</v>
      </c>
      <c r="C2339" s="102" t="s">
        <v>1077</v>
      </c>
    </row>
    <row r="2340" spans="1:3" ht="15">
      <c r="A2340" s="90" t="s">
        <v>297</v>
      </c>
      <c r="B2340" s="89" t="s">
        <v>3025</v>
      </c>
      <c r="C2340" s="102" t="s">
        <v>1077</v>
      </c>
    </row>
    <row r="2341" spans="1:3" ht="15">
      <c r="A2341" s="90" t="s">
        <v>297</v>
      </c>
      <c r="B2341" s="89" t="s">
        <v>3522</v>
      </c>
      <c r="C2341" s="102" t="s">
        <v>1077</v>
      </c>
    </row>
    <row r="2342" spans="1:3" ht="15">
      <c r="A2342" s="90" t="s">
        <v>297</v>
      </c>
      <c r="B2342" s="89" t="s">
        <v>3475</v>
      </c>
      <c r="C2342" s="102" t="s">
        <v>1077</v>
      </c>
    </row>
    <row r="2343" spans="1:3" ht="15">
      <c r="A2343" s="90" t="s">
        <v>297</v>
      </c>
      <c r="B2343" s="89" t="s">
        <v>3949</v>
      </c>
      <c r="C2343" s="102" t="s">
        <v>1077</v>
      </c>
    </row>
    <row r="2344" spans="1:3" ht="15">
      <c r="A2344" s="90" t="s">
        <v>297</v>
      </c>
      <c r="B2344" s="89" t="s">
        <v>3950</v>
      </c>
      <c r="C2344" s="102" t="s">
        <v>1077</v>
      </c>
    </row>
    <row r="2345" spans="1:3" ht="15">
      <c r="A2345" s="90" t="s">
        <v>297</v>
      </c>
      <c r="B2345" s="89" t="s">
        <v>3201</v>
      </c>
      <c r="C2345" s="102" t="s">
        <v>1077</v>
      </c>
    </row>
    <row r="2346" spans="1:3" ht="15">
      <c r="A2346" s="90" t="s">
        <v>297</v>
      </c>
      <c r="B2346" s="89" t="s">
        <v>3951</v>
      </c>
      <c r="C2346" s="102" t="s">
        <v>1077</v>
      </c>
    </row>
    <row r="2347" spans="1:3" ht="15">
      <c r="A2347" s="90" t="s">
        <v>297</v>
      </c>
      <c r="B2347" s="89" t="s">
        <v>2749</v>
      </c>
      <c r="C2347" s="102" t="s">
        <v>1077</v>
      </c>
    </row>
    <row r="2348" spans="1:3" ht="15">
      <c r="A2348" s="90" t="s">
        <v>297</v>
      </c>
      <c r="B2348" s="89" t="s">
        <v>3149</v>
      </c>
      <c r="C2348" s="102" t="s">
        <v>1077</v>
      </c>
    </row>
    <row r="2349" spans="1:3" ht="15">
      <c r="A2349" s="90" t="s">
        <v>297</v>
      </c>
      <c r="B2349" s="89" t="s">
        <v>3026</v>
      </c>
      <c r="C2349" s="102" t="s">
        <v>1077</v>
      </c>
    </row>
    <row r="2350" spans="1:3" ht="15">
      <c r="A2350" s="90" t="s">
        <v>297</v>
      </c>
      <c r="B2350" s="89" t="s">
        <v>3952</v>
      </c>
      <c r="C2350" s="102" t="s">
        <v>1077</v>
      </c>
    </row>
    <row r="2351" spans="1:3" ht="15">
      <c r="A2351" s="90" t="s">
        <v>297</v>
      </c>
      <c r="B2351" s="89" t="s">
        <v>3953</v>
      </c>
      <c r="C2351" s="102" t="s">
        <v>1077</v>
      </c>
    </row>
    <row r="2352" spans="1:3" ht="15">
      <c r="A2352" s="90" t="s">
        <v>297</v>
      </c>
      <c r="B2352" s="89" t="s">
        <v>3192</v>
      </c>
      <c r="C2352" s="102" t="s">
        <v>1077</v>
      </c>
    </row>
    <row r="2353" spans="1:3" ht="15">
      <c r="A2353" s="90" t="s">
        <v>297</v>
      </c>
      <c r="B2353" s="89" t="s">
        <v>2753</v>
      </c>
      <c r="C2353" s="102" t="s">
        <v>1077</v>
      </c>
    </row>
    <row r="2354" spans="1:3" ht="15">
      <c r="A2354" s="90" t="s">
        <v>297</v>
      </c>
      <c r="B2354" s="89" t="s">
        <v>2890</v>
      </c>
      <c r="C2354" s="102" t="s">
        <v>1077</v>
      </c>
    </row>
    <row r="2355" spans="1:3" ht="15">
      <c r="A2355" s="90" t="s">
        <v>297</v>
      </c>
      <c r="B2355" s="89" t="s">
        <v>3293</v>
      </c>
      <c r="C2355" s="102" t="s">
        <v>1077</v>
      </c>
    </row>
    <row r="2356" spans="1:3" ht="15">
      <c r="A2356" s="90" t="s">
        <v>297</v>
      </c>
      <c r="B2356" s="89" t="s">
        <v>3020</v>
      </c>
      <c r="C2356" s="102" t="s">
        <v>1077</v>
      </c>
    </row>
    <row r="2357" spans="1:3" ht="15">
      <c r="A2357" s="90" t="s">
        <v>297</v>
      </c>
      <c r="B2357" s="89" t="s">
        <v>3954</v>
      </c>
      <c r="C2357" s="102" t="s">
        <v>1077</v>
      </c>
    </row>
    <row r="2358" spans="1:3" ht="15">
      <c r="A2358" s="90" t="s">
        <v>297</v>
      </c>
      <c r="B2358" s="89" t="s">
        <v>3955</v>
      </c>
      <c r="C2358" s="102" t="s">
        <v>1077</v>
      </c>
    </row>
    <row r="2359" spans="1:3" ht="15">
      <c r="A2359" s="90" t="s">
        <v>297</v>
      </c>
      <c r="B2359" s="89" t="s">
        <v>464</v>
      </c>
      <c r="C2359" s="102" t="s">
        <v>1072</v>
      </c>
    </row>
    <row r="2360" spans="1:3" ht="15">
      <c r="A2360" s="90" t="s">
        <v>297</v>
      </c>
      <c r="B2360" s="89" t="s">
        <v>463</v>
      </c>
      <c r="C2360" s="102" t="s">
        <v>1072</v>
      </c>
    </row>
    <row r="2361" spans="1:3" ht="15">
      <c r="A2361" s="90" t="s">
        <v>297</v>
      </c>
      <c r="B2361" s="89" t="s">
        <v>3956</v>
      </c>
      <c r="C2361" s="102" t="s">
        <v>1072</v>
      </c>
    </row>
    <row r="2362" spans="1:3" ht="15">
      <c r="A2362" s="90" t="s">
        <v>297</v>
      </c>
      <c r="B2362" s="89" t="s">
        <v>3325</v>
      </c>
      <c r="C2362" s="102" t="s">
        <v>1072</v>
      </c>
    </row>
    <row r="2363" spans="1:3" ht="15">
      <c r="A2363" s="90" t="s">
        <v>297</v>
      </c>
      <c r="B2363" s="89" t="s">
        <v>3957</v>
      </c>
      <c r="C2363" s="102" t="s">
        <v>1072</v>
      </c>
    </row>
    <row r="2364" spans="1:3" ht="15">
      <c r="A2364" s="90" t="s">
        <v>297</v>
      </c>
      <c r="B2364" s="89" t="s">
        <v>3958</v>
      </c>
      <c r="C2364" s="102" t="s">
        <v>1072</v>
      </c>
    </row>
    <row r="2365" spans="1:3" ht="15">
      <c r="A2365" s="90" t="s">
        <v>297</v>
      </c>
      <c r="B2365" s="89">
        <v>100</v>
      </c>
      <c r="C2365" s="102" t="s">
        <v>1072</v>
      </c>
    </row>
    <row r="2366" spans="1:3" ht="15">
      <c r="A2366" s="90" t="s">
        <v>297</v>
      </c>
      <c r="B2366" s="89" t="s">
        <v>3153</v>
      </c>
      <c r="C2366" s="102" t="s">
        <v>1072</v>
      </c>
    </row>
    <row r="2367" spans="1:3" ht="15">
      <c r="A2367" s="90" t="s">
        <v>297</v>
      </c>
      <c r="B2367" s="89" t="s">
        <v>3959</v>
      </c>
      <c r="C2367" s="102" t="s">
        <v>1072</v>
      </c>
    </row>
    <row r="2368" spans="1:3" ht="15">
      <c r="A2368" s="90" t="s">
        <v>297</v>
      </c>
      <c r="B2368" s="89" t="s">
        <v>3960</v>
      </c>
      <c r="C2368" s="102" t="s">
        <v>1072</v>
      </c>
    </row>
    <row r="2369" spans="1:3" ht="15">
      <c r="A2369" s="90" t="s">
        <v>297</v>
      </c>
      <c r="B2369" s="89" t="s">
        <v>3137</v>
      </c>
      <c r="C2369" s="102" t="s">
        <v>1072</v>
      </c>
    </row>
    <row r="2370" spans="1:3" ht="15">
      <c r="A2370" s="90" t="s">
        <v>297</v>
      </c>
      <c r="B2370" s="89" t="s">
        <v>3961</v>
      </c>
      <c r="C2370" s="102" t="s">
        <v>1072</v>
      </c>
    </row>
    <row r="2371" spans="1:3" ht="15">
      <c r="A2371" s="90" t="s">
        <v>297</v>
      </c>
      <c r="B2371" s="89" t="s">
        <v>3211</v>
      </c>
      <c r="C2371" s="102" t="s">
        <v>1072</v>
      </c>
    </row>
    <row r="2372" spans="1:3" ht="15">
      <c r="A2372" s="90" t="s">
        <v>297</v>
      </c>
      <c r="B2372" s="89" t="s">
        <v>712</v>
      </c>
      <c r="C2372" s="102" t="s">
        <v>1072</v>
      </c>
    </row>
    <row r="2373" spans="1:3" ht="15">
      <c r="A2373" s="90" t="s">
        <v>297</v>
      </c>
      <c r="B2373" s="89" t="s">
        <v>463</v>
      </c>
      <c r="C2373" s="102" t="s">
        <v>1071</v>
      </c>
    </row>
    <row r="2374" spans="1:3" ht="15">
      <c r="A2374" s="90" t="s">
        <v>297</v>
      </c>
      <c r="B2374" s="89" t="s">
        <v>464</v>
      </c>
      <c r="C2374" s="102" t="s">
        <v>1071</v>
      </c>
    </row>
    <row r="2375" spans="1:3" ht="15">
      <c r="A2375" s="90" t="s">
        <v>297</v>
      </c>
      <c r="B2375" s="89" t="s">
        <v>3956</v>
      </c>
      <c r="C2375" s="102" t="s">
        <v>1071</v>
      </c>
    </row>
    <row r="2376" spans="1:3" ht="15">
      <c r="A2376" s="90" t="s">
        <v>297</v>
      </c>
      <c r="B2376" s="89" t="s">
        <v>3732</v>
      </c>
      <c r="C2376" s="102" t="s">
        <v>1071</v>
      </c>
    </row>
    <row r="2377" spans="1:3" ht="15">
      <c r="A2377" s="90" t="s">
        <v>297</v>
      </c>
      <c r="B2377" s="89" t="s">
        <v>3962</v>
      </c>
      <c r="C2377" s="102" t="s">
        <v>1071</v>
      </c>
    </row>
    <row r="2378" spans="1:3" ht="15">
      <c r="A2378" s="90" t="s">
        <v>297</v>
      </c>
      <c r="B2378" s="89" t="s">
        <v>3495</v>
      </c>
      <c r="C2378" s="102" t="s">
        <v>1071</v>
      </c>
    </row>
    <row r="2379" spans="1:3" ht="15">
      <c r="A2379" s="90" t="s">
        <v>297</v>
      </c>
      <c r="B2379" s="89" t="s">
        <v>712</v>
      </c>
      <c r="C2379" s="102" t="s">
        <v>1071</v>
      </c>
    </row>
    <row r="2380" spans="1:3" ht="15">
      <c r="A2380" s="90" t="s">
        <v>297</v>
      </c>
      <c r="B2380" s="89" t="s">
        <v>3963</v>
      </c>
      <c r="C2380" s="102" t="s">
        <v>1071</v>
      </c>
    </row>
    <row r="2381" spans="1:3" ht="15">
      <c r="A2381" s="90" t="s">
        <v>297</v>
      </c>
      <c r="B2381" s="89" t="s">
        <v>3006</v>
      </c>
      <c r="C2381" s="102" t="s">
        <v>1071</v>
      </c>
    </row>
    <row r="2382" spans="1:3" ht="15">
      <c r="A2382" s="90" t="s">
        <v>297</v>
      </c>
      <c r="B2382" s="89" t="s">
        <v>3964</v>
      </c>
      <c r="C2382" s="102" t="s">
        <v>1071</v>
      </c>
    </row>
    <row r="2383" spans="1:3" ht="15">
      <c r="A2383" s="90" t="s">
        <v>297</v>
      </c>
      <c r="B2383" s="89" t="s">
        <v>3965</v>
      </c>
      <c r="C2383" s="102" t="s">
        <v>1071</v>
      </c>
    </row>
    <row r="2384" spans="1:3" ht="15">
      <c r="A2384" s="90" t="s">
        <v>297</v>
      </c>
      <c r="B2384" s="89" t="s">
        <v>3141</v>
      </c>
      <c r="C2384" s="102" t="s">
        <v>1071</v>
      </c>
    </row>
    <row r="2385" spans="1:3" ht="15">
      <c r="A2385" s="90" t="s">
        <v>297</v>
      </c>
      <c r="B2385" s="89" t="s">
        <v>3966</v>
      </c>
      <c r="C2385" s="102" t="s">
        <v>1071</v>
      </c>
    </row>
    <row r="2386" spans="1:3" ht="15">
      <c r="A2386" s="90" t="s">
        <v>297</v>
      </c>
      <c r="B2386" s="89" t="s">
        <v>3211</v>
      </c>
      <c r="C2386" s="102" t="s">
        <v>1071</v>
      </c>
    </row>
    <row r="2387" spans="1:3" ht="15">
      <c r="A2387" s="90" t="s">
        <v>297</v>
      </c>
      <c r="B2387" s="89" t="s">
        <v>2936</v>
      </c>
      <c r="C2387" s="102" t="s">
        <v>1071</v>
      </c>
    </row>
    <row r="2388" spans="1:3" ht="15">
      <c r="A2388" s="90" t="s">
        <v>297</v>
      </c>
      <c r="B2388" s="89" t="s">
        <v>3325</v>
      </c>
      <c r="C2388" s="102" t="s">
        <v>1071</v>
      </c>
    </row>
    <row r="2389" spans="1:3" ht="15">
      <c r="A2389" s="90" t="s">
        <v>297</v>
      </c>
      <c r="B2389" s="89" t="s">
        <v>3149</v>
      </c>
      <c r="C2389" s="102" t="s">
        <v>1071</v>
      </c>
    </row>
    <row r="2390" spans="1:3" ht="15">
      <c r="A2390" s="90" t="s">
        <v>297</v>
      </c>
      <c r="B2390" s="89" t="s">
        <v>3661</v>
      </c>
      <c r="C2390" s="102" t="s">
        <v>1071</v>
      </c>
    </row>
    <row r="2391" spans="1:3" ht="15">
      <c r="A2391" s="90" t="s">
        <v>297</v>
      </c>
      <c r="B2391" s="89" t="s">
        <v>3309</v>
      </c>
      <c r="C2391" s="102" t="s">
        <v>1071</v>
      </c>
    </row>
    <row r="2392" spans="1:3" ht="15">
      <c r="A2392" s="90" t="s">
        <v>297</v>
      </c>
      <c r="B2392" s="89" t="s">
        <v>3967</v>
      </c>
      <c r="C2392" s="102" t="s">
        <v>1071</v>
      </c>
    </row>
    <row r="2393" spans="1:3" ht="15">
      <c r="A2393" s="90" t="s">
        <v>297</v>
      </c>
      <c r="B2393" s="89" t="s">
        <v>3165</v>
      </c>
      <c r="C2393" s="102" t="s">
        <v>1071</v>
      </c>
    </row>
    <row r="2394" spans="1:3" ht="15">
      <c r="A2394" s="90" t="s">
        <v>297</v>
      </c>
      <c r="B2394" s="89" t="s">
        <v>3028</v>
      </c>
      <c r="C2394" s="102" t="s">
        <v>1071</v>
      </c>
    </row>
    <row r="2395" spans="1:3" ht="15">
      <c r="A2395" s="90" t="s">
        <v>297</v>
      </c>
      <c r="B2395" s="89" t="s">
        <v>3155</v>
      </c>
      <c r="C2395" s="102" t="s">
        <v>1071</v>
      </c>
    </row>
    <row r="2396" spans="1:3" ht="15">
      <c r="A2396" s="90" t="s">
        <v>297</v>
      </c>
      <c r="B2396" s="89" t="s">
        <v>3004</v>
      </c>
      <c r="C2396" s="102" t="s">
        <v>1071</v>
      </c>
    </row>
    <row r="2397" spans="1:3" ht="15">
      <c r="A2397" s="90" t="s">
        <v>297</v>
      </c>
      <c r="B2397" s="89" t="s">
        <v>2845</v>
      </c>
      <c r="C2397" s="102" t="s">
        <v>1071</v>
      </c>
    </row>
    <row r="2398" spans="1:3" ht="15">
      <c r="A2398" s="90" t="s">
        <v>297</v>
      </c>
      <c r="B2398" s="89" t="s">
        <v>3968</v>
      </c>
      <c r="C2398" s="102" t="s">
        <v>1071</v>
      </c>
    </row>
    <row r="2399" spans="1:3" ht="15">
      <c r="A2399" s="90" t="s">
        <v>297</v>
      </c>
      <c r="B2399" s="89" t="s">
        <v>3969</v>
      </c>
      <c r="C2399" s="102" t="s">
        <v>1071</v>
      </c>
    </row>
    <row r="2400" spans="1:3" ht="15">
      <c r="A2400" s="90" t="s">
        <v>297</v>
      </c>
      <c r="B2400" s="89" t="s">
        <v>2677</v>
      </c>
      <c r="C2400" s="102" t="s">
        <v>1071</v>
      </c>
    </row>
    <row r="2401" spans="1:3" ht="15">
      <c r="A2401" s="90" t="s">
        <v>297</v>
      </c>
      <c r="B2401" s="89" t="s">
        <v>3970</v>
      </c>
      <c r="C2401" s="102" t="s">
        <v>1071</v>
      </c>
    </row>
    <row r="2402" spans="1:3" ht="15">
      <c r="A2402" s="90" t="s">
        <v>297</v>
      </c>
      <c r="B2402" s="89" t="s">
        <v>3971</v>
      </c>
      <c r="C2402" s="102" t="s">
        <v>1071</v>
      </c>
    </row>
    <row r="2403" spans="1:3" ht="15">
      <c r="A2403" s="90" t="s">
        <v>297</v>
      </c>
      <c r="B2403" s="89" t="s">
        <v>3972</v>
      </c>
      <c r="C2403" s="102" t="s">
        <v>1071</v>
      </c>
    </row>
    <row r="2404" spans="1:3" ht="15">
      <c r="A2404" s="90" t="s">
        <v>297</v>
      </c>
      <c r="B2404" s="89" t="s">
        <v>3000</v>
      </c>
      <c r="C2404" s="102" t="s">
        <v>1071</v>
      </c>
    </row>
    <row r="2405" spans="1:3" ht="15">
      <c r="A2405" s="90" t="s">
        <v>297</v>
      </c>
      <c r="B2405" s="89" t="s">
        <v>3973</v>
      </c>
      <c r="C2405" s="102" t="s">
        <v>1071</v>
      </c>
    </row>
    <row r="2406" spans="1:3" ht="15">
      <c r="A2406" s="90" t="s">
        <v>297</v>
      </c>
      <c r="B2406" s="89" t="s">
        <v>2891</v>
      </c>
      <c r="C2406" s="102" t="s">
        <v>1071</v>
      </c>
    </row>
    <row r="2407" spans="1:3" ht="15">
      <c r="A2407" s="90" t="s">
        <v>297</v>
      </c>
      <c r="B2407" s="89" t="s">
        <v>3974</v>
      </c>
      <c r="C2407" s="102" t="s">
        <v>1071</v>
      </c>
    </row>
    <row r="2408" spans="1:3" ht="15">
      <c r="A2408" s="90" t="s">
        <v>297</v>
      </c>
      <c r="B2408" s="89" t="s">
        <v>3975</v>
      </c>
      <c r="C2408" s="102" t="s">
        <v>1071</v>
      </c>
    </row>
    <row r="2409" spans="1:3" ht="15">
      <c r="A2409" s="90" t="s">
        <v>296</v>
      </c>
      <c r="B2409" s="89" t="s">
        <v>3307</v>
      </c>
      <c r="C2409" s="102" t="s">
        <v>1070</v>
      </c>
    </row>
    <row r="2410" spans="1:3" ht="15">
      <c r="A2410" s="90" t="s">
        <v>296</v>
      </c>
      <c r="B2410" s="89" t="s">
        <v>3152</v>
      </c>
      <c r="C2410" s="102" t="s">
        <v>1070</v>
      </c>
    </row>
    <row r="2411" spans="1:3" ht="15">
      <c r="A2411" s="90" t="s">
        <v>296</v>
      </c>
      <c r="B2411" s="89" t="s">
        <v>3141</v>
      </c>
      <c r="C2411" s="102" t="s">
        <v>1070</v>
      </c>
    </row>
    <row r="2412" spans="1:3" ht="15">
      <c r="A2412" s="90" t="s">
        <v>296</v>
      </c>
      <c r="B2412" s="89" t="s">
        <v>2678</v>
      </c>
      <c r="C2412" s="102" t="s">
        <v>1070</v>
      </c>
    </row>
    <row r="2413" spans="1:3" ht="15">
      <c r="A2413" s="90" t="s">
        <v>296</v>
      </c>
      <c r="B2413" s="89" t="s">
        <v>2676</v>
      </c>
      <c r="C2413" s="102" t="s">
        <v>1070</v>
      </c>
    </row>
    <row r="2414" spans="1:3" ht="15">
      <c r="A2414" s="90" t="s">
        <v>296</v>
      </c>
      <c r="B2414" s="89" t="s">
        <v>3308</v>
      </c>
      <c r="C2414" s="102" t="s">
        <v>1070</v>
      </c>
    </row>
    <row r="2415" spans="1:3" ht="15">
      <c r="A2415" s="90" t="s">
        <v>296</v>
      </c>
      <c r="B2415" s="89" t="s">
        <v>3205</v>
      </c>
      <c r="C2415" s="102" t="s">
        <v>1070</v>
      </c>
    </row>
    <row r="2416" spans="1:3" ht="15">
      <c r="A2416" s="90" t="s">
        <v>296</v>
      </c>
      <c r="B2416" s="89" t="s">
        <v>3155</v>
      </c>
      <c r="C2416" s="102" t="s">
        <v>1070</v>
      </c>
    </row>
    <row r="2417" spans="1:3" ht="15">
      <c r="A2417" s="90" t="s">
        <v>296</v>
      </c>
      <c r="B2417" s="89" t="s">
        <v>3309</v>
      </c>
      <c r="C2417" s="102" t="s">
        <v>1070</v>
      </c>
    </row>
    <row r="2418" spans="1:3" ht="15">
      <c r="A2418" s="90" t="s">
        <v>296</v>
      </c>
      <c r="B2418" s="89" t="s">
        <v>2679</v>
      </c>
      <c r="C2418" s="102" t="s">
        <v>1070</v>
      </c>
    </row>
    <row r="2419" spans="1:3" ht="15">
      <c r="A2419" s="90" t="s">
        <v>296</v>
      </c>
      <c r="B2419" s="89" t="s">
        <v>712</v>
      </c>
      <c r="C2419" s="102" t="s">
        <v>1070</v>
      </c>
    </row>
    <row r="2420" spans="1:3" ht="15">
      <c r="A2420" s="90" t="s">
        <v>296</v>
      </c>
      <c r="B2420" s="89" t="s">
        <v>431</v>
      </c>
      <c r="C2420" s="102" t="s">
        <v>1070</v>
      </c>
    </row>
    <row r="2421" spans="1:3" ht="15">
      <c r="A2421" s="90" t="s">
        <v>296</v>
      </c>
      <c r="B2421" s="89" t="s">
        <v>3310</v>
      </c>
      <c r="C2421" s="102" t="s">
        <v>1070</v>
      </c>
    </row>
    <row r="2422" spans="1:3" ht="15">
      <c r="A2422" s="90" t="s">
        <v>267</v>
      </c>
      <c r="B2422" s="89" t="s">
        <v>461</v>
      </c>
      <c r="C2422" s="102" t="s">
        <v>1023</v>
      </c>
    </row>
    <row r="2423" spans="1:3" ht="15">
      <c r="A2423" s="90" t="s">
        <v>267</v>
      </c>
      <c r="B2423" s="89" t="s">
        <v>3976</v>
      </c>
      <c r="C2423" s="102" t="s">
        <v>1023</v>
      </c>
    </row>
    <row r="2424" spans="1:3" ht="15">
      <c r="A2424" s="90" t="s">
        <v>267</v>
      </c>
      <c r="B2424" s="89" t="s">
        <v>3977</v>
      </c>
      <c r="C2424" s="102" t="s">
        <v>1023</v>
      </c>
    </row>
    <row r="2425" spans="1:3" ht="15">
      <c r="A2425" s="90" t="s">
        <v>267</v>
      </c>
      <c r="B2425" s="89" t="s">
        <v>3309</v>
      </c>
      <c r="C2425" s="102" t="s">
        <v>1023</v>
      </c>
    </row>
    <row r="2426" spans="1:3" ht="15">
      <c r="A2426" s="90" t="s">
        <v>267</v>
      </c>
      <c r="B2426" s="89" t="s">
        <v>3783</v>
      </c>
      <c r="C2426" s="102" t="s">
        <v>1023</v>
      </c>
    </row>
    <row r="2427" spans="1:3" ht="15">
      <c r="A2427" s="90" t="s">
        <v>267</v>
      </c>
      <c r="B2427" s="89" t="s">
        <v>712</v>
      </c>
      <c r="C2427" s="102" t="s">
        <v>1023</v>
      </c>
    </row>
    <row r="2428" spans="1:3" ht="15">
      <c r="A2428" s="90" t="s">
        <v>295</v>
      </c>
      <c r="B2428" s="89" t="s">
        <v>434</v>
      </c>
      <c r="C2428" s="102" t="s">
        <v>1144</v>
      </c>
    </row>
    <row r="2429" spans="1:3" ht="15">
      <c r="A2429" s="90" t="s">
        <v>295</v>
      </c>
      <c r="B2429" s="89" t="s">
        <v>3204</v>
      </c>
      <c r="C2429" s="102" t="s">
        <v>1144</v>
      </c>
    </row>
    <row r="2430" spans="1:3" ht="15">
      <c r="A2430" s="90" t="s">
        <v>295</v>
      </c>
      <c r="B2430" s="89" t="s">
        <v>3141</v>
      </c>
      <c r="C2430" s="102" t="s">
        <v>1144</v>
      </c>
    </row>
    <row r="2431" spans="1:3" ht="15">
      <c r="A2431" s="90" t="s">
        <v>295</v>
      </c>
      <c r="B2431" s="89" t="s">
        <v>3475</v>
      </c>
      <c r="C2431" s="102" t="s">
        <v>1144</v>
      </c>
    </row>
    <row r="2432" spans="1:3" ht="15">
      <c r="A2432" s="90" t="s">
        <v>295</v>
      </c>
      <c r="B2432" s="89" t="s">
        <v>3630</v>
      </c>
      <c r="C2432" s="102" t="s">
        <v>1144</v>
      </c>
    </row>
    <row r="2433" spans="1:3" ht="15">
      <c r="A2433" s="90" t="s">
        <v>295</v>
      </c>
      <c r="B2433" s="89" t="s">
        <v>2892</v>
      </c>
      <c r="C2433" s="102" t="s">
        <v>1144</v>
      </c>
    </row>
    <row r="2434" spans="1:3" ht="15">
      <c r="A2434" s="90" t="s">
        <v>295</v>
      </c>
      <c r="B2434" s="89" t="s">
        <v>2893</v>
      </c>
      <c r="C2434" s="102" t="s">
        <v>1144</v>
      </c>
    </row>
    <row r="2435" spans="1:3" ht="15">
      <c r="A2435" s="90" t="s">
        <v>295</v>
      </c>
      <c r="B2435" s="89" t="s">
        <v>3978</v>
      </c>
      <c r="C2435" s="102" t="s">
        <v>1144</v>
      </c>
    </row>
    <row r="2436" spans="1:3" ht="15">
      <c r="A2436" s="90" t="s">
        <v>295</v>
      </c>
      <c r="B2436" s="89" t="s">
        <v>3155</v>
      </c>
      <c r="C2436" s="102" t="s">
        <v>1144</v>
      </c>
    </row>
    <row r="2437" spans="1:3" ht="15">
      <c r="A2437" s="90" t="s">
        <v>295</v>
      </c>
      <c r="B2437" s="89" t="s">
        <v>3309</v>
      </c>
      <c r="C2437" s="102" t="s">
        <v>1144</v>
      </c>
    </row>
    <row r="2438" spans="1:3" ht="15">
      <c r="A2438" s="90" t="s">
        <v>295</v>
      </c>
      <c r="B2438" s="89" t="s">
        <v>3979</v>
      </c>
      <c r="C2438" s="102" t="s">
        <v>1144</v>
      </c>
    </row>
    <row r="2439" spans="1:3" ht="15">
      <c r="A2439" s="90" t="s">
        <v>295</v>
      </c>
      <c r="B2439" s="89" t="s">
        <v>2894</v>
      </c>
      <c r="C2439" s="102" t="s">
        <v>1144</v>
      </c>
    </row>
    <row r="2440" spans="1:3" ht="15">
      <c r="A2440" s="90" t="s">
        <v>295</v>
      </c>
      <c r="B2440" s="89" t="s">
        <v>2895</v>
      </c>
      <c r="C2440" s="102" t="s">
        <v>1144</v>
      </c>
    </row>
    <row r="2441" spans="1:3" ht="15">
      <c r="A2441" s="90" t="s">
        <v>295</v>
      </c>
      <c r="B2441" s="89" t="s">
        <v>2896</v>
      </c>
      <c r="C2441" s="102" t="s">
        <v>1144</v>
      </c>
    </row>
    <row r="2442" spans="1:3" ht="15">
      <c r="A2442" s="90" t="s">
        <v>295</v>
      </c>
      <c r="B2442" s="89" t="s">
        <v>3681</v>
      </c>
      <c r="C2442" s="102" t="s">
        <v>1133</v>
      </c>
    </row>
    <row r="2443" spans="1:3" ht="15">
      <c r="A2443" s="90" t="s">
        <v>295</v>
      </c>
      <c r="B2443" s="89" t="s">
        <v>3682</v>
      </c>
      <c r="C2443" s="102" t="s">
        <v>1133</v>
      </c>
    </row>
    <row r="2444" spans="1:3" ht="15">
      <c r="A2444" s="90" t="s">
        <v>295</v>
      </c>
      <c r="B2444" s="89" t="s">
        <v>3141</v>
      </c>
      <c r="C2444" s="102" t="s">
        <v>1133</v>
      </c>
    </row>
    <row r="2445" spans="1:3" ht="15">
      <c r="A2445" s="90" t="s">
        <v>295</v>
      </c>
      <c r="B2445" s="89" t="s">
        <v>3201</v>
      </c>
      <c r="C2445" s="102" t="s">
        <v>1133</v>
      </c>
    </row>
    <row r="2446" spans="1:3" ht="15">
      <c r="A2446" s="90" t="s">
        <v>295</v>
      </c>
      <c r="B2446" s="89" t="s">
        <v>2682</v>
      </c>
      <c r="C2446" s="102" t="s">
        <v>1133</v>
      </c>
    </row>
    <row r="2447" spans="1:3" ht="15">
      <c r="A2447" s="90" t="s">
        <v>295</v>
      </c>
      <c r="B2447" s="89" t="s">
        <v>2720</v>
      </c>
      <c r="C2447" s="102" t="s">
        <v>1133</v>
      </c>
    </row>
    <row r="2448" spans="1:3" ht="15">
      <c r="A2448" s="90" t="s">
        <v>295</v>
      </c>
      <c r="B2448" s="89" t="s">
        <v>3683</v>
      </c>
      <c r="C2448" s="102" t="s">
        <v>1133</v>
      </c>
    </row>
    <row r="2449" spans="1:3" ht="15">
      <c r="A2449" s="90" t="s">
        <v>295</v>
      </c>
      <c r="B2449" s="89" t="s">
        <v>2721</v>
      </c>
      <c r="C2449" s="102" t="s">
        <v>1133</v>
      </c>
    </row>
    <row r="2450" spans="1:3" ht="15">
      <c r="A2450" s="90" t="s">
        <v>295</v>
      </c>
      <c r="B2450" s="89" t="s">
        <v>3684</v>
      </c>
      <c r="C2450" s="102" t="s">
        <v>1133</v>
      </c>
    </row>
    <row r="2451" spans="1:3" ht="15">
      <c r="A2451" s="90" t="s">
        <v>295</v>
      </c>
      <c r="B2451" s="89" t="s">
        <v>2723</v>
      </c>
      <c r="C2451" s="102" t="s">
        <v>1133</v>
      </c>
    </row>
    <row r="2452" spans="1:3" ht="15">
      <c r="A2452" s="90" t="s">
        <v>295</v>
      </c>
      <c r="B2452" s="89" t="s">
        <v>2724</v>
      </c>
      <c r="C2452" s="102" t="s">
        <v>1133</v>
      </c>
    </row>
    <row r="2453" spans="1:3" ht="15">
      <c r="A2453" s="90" t="s">
        <v>295</v>
      </c>
      <c r="B2453" s="89" t="s">
        <v>3685</v>
      </c>
      <c r="C2453" s="102" t="s">
        <v>1133</v>
      </c>
    </row>
    <row r="2454" spans="1:3" ht="15">
      <c r="A2454" s="90" t="s">
        <v>295</v>
      </c>
      <c r="B2454" s="89" t="s">
        <v>3355</v>
      </c>
      <c r="C2454" s="102" t="s">
        <v>1133</v>
      </c>
    </row>
    <row r="2455" spans="1:3" ht="15">
      <c r="A2455" s="90" t="s">
        <v>295</v>
      </c>
      <c r="B2455" s="89" t="s">
        <v>2670</v>
      </c>
      <c r="C2455" s="102" t="s">
        <v>1133</v>
      </c>
    </row>
    <row r="2456" spans="1:3" ht="15">
      <c r="A2456" s="90" t="s">
        <v>295</v>
      </c>
      <c r="B2456" s="89" t="s">
        <v>2671</v>
      </c>
      <c r="C2456" s="102" t="s">
        <v>1133</v>
      </c>
    </row>
    <row r="2457" spans="1:3" ht="15">
      <c r="A2457" s="90" t="s">
        <v>295</v>
      </c>
      <c r="B2457" s="89" t="s">
        <v>2666</v>
      </c>
      <c r="C2457" s="102" t="s">
        <v>1133</v>
      </c>
    </row>
    <row r="2458" spans="1:3" ht="15">
      <c r="A2458" s="90" t="s">
        <v>295</v>
      </c>
      <c r="B2458" s="89" t="s">
        <v>2664</v>
      </c>
      <c r="C2458" s="102" t="s">
        <v>1133</v>
      </c>
    </row>
    <row r="2459" spans="1:3" ht="15">
      <c r="A2459" s="90" t="s">
        <v>295</v>
      </c>
      <c r="B2459" s="89" t="s">
        <v>2667</v>
      </c>
      <c r="C2459" s="102" t="s">
        <v>1133</v>
      </c>
    </row>
    <row r="2460" spans="1:3" ht="15">
      <c r="A2460" s="90" t="s">
        <v>295</v>
      </c>
      <c r="B2460" s="89" t="s">
        <v>2663</v>
      </c>
      <c r="C2460" s="102" t="s">
        <v>1133</v>
      </c>
    </row>
    <row r="2461" spans="1:3" ht="15">
      <c r="A2461" s="90" t="s">
        <v>295</v>
      </c>
      <c r="B2461" s="89" t="s">
        <v>3137</v>
      </c>
      <c r="C2461" s="102" t="s">
        <v>1133</v>
      </c>
    </row>
    <row r="2462" spans="1:3" ht="15">
      <c r="A2462" s="90" t="s">
        <v>295</v>
      </c>
      <c r="B2462" s="89" t="s">
        <v>712</v>
      </c>
      <c r="C2462" s="102" t="s">
        <v>1133</v>
      </c>
    </row>
    <row r="2463" spans="1:3" ht="15">
      <c r="A2463" s="90" t="s">
        <v>295</v>
      </c>
      <c r="B2463" s="89" t="s">
        <v>3356</v>
      </c>
      <c r="C2463" s="102" t="s">
        <v>1133</v>
      </c>
    </row>
    <row r="2464" spans="1:3" ht="15">
      <c r="A2464" s="90" t="s">
        <v>295</v>
      </c>
      <c r="B2464" s="89" t="s">
        <v>2668</v>
      </c>
      <c r="C2464" s="102" t="s">
        <v>1133</v>
      </c>
    </row>
    <row r="2465" spans="1:3" ht="15">
      <c r="A2465" s="90" t="s">
        <v>295</v>
      </c>
      <c r="B2465" s="89" t="s">
        <v>3357</v>
      </c>
      <c r="C2465" s="102" t="s">
        <v>1133</v>
      </c>
    </row>
    <row r="2466" spans="1:3" ht="15">
      <c r="A2466" s="90" t="s">
        <v>295</v>
      </c>
      <c r="B2466" s="89" t="s">
        <v>2672</v>
      </c>
      <c r="C2466" s="102" t="s">
        <v>1133</v>
      </c>
    </row>
    <row r="2467" spans="1:3" ht="15">
      <c r="A2467" s="90" t="s">
        <v>295</v>
      </c>
      <c r="B2467" s="89" t="s">
        <v>2665</v>
      </c>
      <c r="C2467" s="102" t="s">
        <v>1133</v>
      </c>
    </row>
    <row r="2468" spans="1:3" ht="15">
      <c r="A2468" s="90" t="s">
        <v>295</v>
      </c>
      <c r="B2468" s="89" t="s">
        <v>3681</v>
      </c>
      <c r="C2468" s="102" t="s">
        <v>1135</v>
      </c>
    </row>
    <row r="2469" spans="1:3" ht="15">
      <c r="A2469" s="90" t="s">
        <v>295</v>
      </c>
      <c r="B2469" s="89" t="s">
        <v>3355</v>
      </c>
      <c r="C2469" s="102" t="s">
        <v>1135</v>
      </c>
    </row>
    <row r="2470" spans="1:3" ht="15">
      <c r="A2470" s="90" t="s">
        <v>295</v>
      </c>
      <c r="B2470" s="89" t="s">
        <v>2670</v>
      </c>
      <c r="C2470" s="102" t="s">
        <v>1135</v>
      </c>
    </row>
    <row r="2471" spans="1:3" ht="15">
      <c r="A2471" s="90" t="s">
        <v>295</v>
      </c>
      <c r="B2471" s="89" t="s">
        <v>2671</v>
      </c>
      <c r="C2471" s="102" t="s">
        <v>1135</v>
      </c>
    </row>
    <row r="2472" spans="1:3" ht="15">
      <c r="A2472" s="90" t="s">
        <v>295</v>
      </c>
      <c r="B2472" s="89" t="s">
        <v>2666</v>
      </c>
      <c r="C2472" s="102" t="s">
        <v>1135</v>
      </c>
    </row>
    <row r="2473" spans="1:3" ht="15">
      <c r="A2473" s="90" t="s">
        <v>295</v>
      </c>
      <c r="B2473" s="89" t="s">
        <v>2664</v>
      </c>
      <c r="C2473" s="102" t="s">
        <v>1135</v>
      </c>
    </row>
    <row r="2474" spans="1:3" ht="15">
      <c r="A2474" s="90" t="s">
        <v>295</v>
      </c>
      <c r="B2474" s="89" t="s">
        <v>2667</v>
      </c>
      <c r="C2474" s="102" t="s">
        <v>1135</v>
      </c>
    </row>
    <row r="2475" spans="1:3" ht="15">
      <c r="A2475" s="90" t="s">
        <v>295</v>
      </c>
      <c r="B2475" s="89" t="s">
        <v>2663</v>
      </c>
      <c r="C2475" s="102" t="s">
        <v>1135</v>
      </c>
    </row>
    <row r="2476" spans="1:3" ht="15">
      <c r="A2476" s="90" t="s">
        <v>295</v>
      </c>
      <c r="B2476" s="89" t="s">
        <v>3137</v>
      </c>
      <c r="C2476" s="102" t="s">
        <v>1135</v>
      </c>
    </row>
    <row r="2477" spans="1:3" ht="15">
      <c r="A2477" s="90" t="s">
        <v>295</v>
      </c>
      <c r="B2477" s="89" t="s">
        <v>712</v>
      </c>
      <c r="C2477" s="102" t="s">
        <v>1135</v>
      </c>
    </row>
    <row r="2478" spans="1:3" ht="15">
      <c r="A2478" s="90" t="s">
        <v>295</v>
      </c>
      <c r="B2478" s="89" t="s">
        <v>3356</v>
      </c>
      <c r="C2478" s="102" t="s">
        <v>1135</v>
      </c>
    </row>
    <row r="2479" spans="1:3" ht="15">
      <c r="A2479" s="90" t="s">
        <v>295</v>
      </c>
      <c r="B2479" s="89" t="s">
        <v>2668</v>
      </c>
      <c r="C2479" s="102" t="s">
        <v>1135</v>
      </c>
    </row>
    <row r="2480" spans="1:3" ht="15">
      <c r="A2480" s="90" t="s">
        <v>295</v>
      </c>
      <c r="B2480" s="89" t="s">
        <v>3357</v>
      </c>
      <c r="C2480" s="102" t="s">
        <v>1135</v>
      </c>
    </row>
    <row r="2481" spans="1:3" ht="15">
      <c r="A2481" s="90" t="s">
        <v>295</v>
      </c>
      <c r="B2481" s="89" t="s">
        <v>2672</v>
      </c>
      <c r="C2481" s="102" t="s">
        <v>1135</v>
      </c>
    </row>
    <row r="2482" spans="1:3" ht="15">
      <c r="A2482" s="90" t="s">
        <v>295</v>
      </c>
      <c r="B2482" s="89" t="s">
        <v>2665</v>
      </c>
      <c r="C2482" s="102" t="s">
        <v>1135</v>
      </c>
    </row>
    <row r="2483" spans="1:3" ht="15">
      <c r="A2483" s="90" t="s">
        <v>295</v>
      </c>
      <c r="B2483" s="89" t="s">
        <v>3307</v>
      </c>
      <c r="C2483" s="102" t="s">
        <v>1135</v>
      </c>
    </row>
    <row r="2484" spans="1:3" ht="15">
      <c r="A2484" s="90" t="s">
        <v>295</v>
      </c>
      <c r="B2484" s="89" t="s">
        <v>2755</v>
      </c>
      <c r="C2484" s="102" t="s">
        <v>1135</v>
      </c>
    </row>
    <row r="2485" spans="1:3" ht="15">
      <c r="A2485" s="90" t="s">
        <v>295</v>
      </c>
      <c r="B2485" s="89" t="s">
        <v>3323</v>
      </c>
      <c r="C2485" s="102" t="s">
        <v>1135</v>
      </c>
    </row>
    <row r="2486" spans="1:3" ht="15">
      <c r="A2486" s="90" t="s">
        <v>295</v>
      </c>
      <c r="B2486" s="89" t="s">
        <v>3289</v>
      </c>
      <c r="C2486" s="102" t="s">
        <v>1135</v>
      </c>
    </row>
    <row r="2487" spans="1:3" ht="15">
      <c r="A2487" s="90" t="s">
        <v>295</v>
      </c>
      <c r="B2487" s="89" t="s">
        <v>3155</v>
      </c>
      <c r="C2487" s="102" t="s">
        <v>1135</v>
      </c>
    </row>
    <row r="2488" spans="1:3" ht="15">
      <c r="A2488" s="90" t="s">
        <v>295</v>
      </c>
      <c r="B2488" s="89" t="s">
        <v>2756</v>
      </c>
      <c r="C2488" s="102" t="s">
        <v>1135</v>
      </c>
    </row>
    <row r="2489" spans="1:3" ht="15">
      <c r="A2489" s="90" t="s">
        <v>295</v>
      </c>
      <c r="B2489" s="89" t="s">
        <v>2757</v>
      </c>
      <c r="C2489" s="102" t="s">
        <v>1135</v>
      </c>
    </row>
    <row r="2490" spans="1:3" ht="15">
      <c r="A2490" s="90" t="s">
        <v>295</v>
      </c>
      <c r="B2490" s="89" t="s">
        <v>3980</v>
      </c>
      <c r="C2490" s="102" t="s">
        <v>1069</v>
      </c>
    </row>
    <row r="2491" spans="1:3" ht="15">
      <c r="A2491" s="90" t="s">
        <v>295</v>
      </c>
      <c r="B2491" s="89" t="s">
        <v>3981</v>
      </c>
      <c r="C2491" s="102" t="s">
        <v>1069</v>
      </c>
    </row>
    <row r="2492" spans="1:3" ht="15">
      <c r="A2492" s="90" t="s">
        <v>295</v>
      </c>
      <c r="B2492" s="89" t="s">
        <v>3982</v>
      </c>
      <c r="C2492" s="102" t="s">
        <v>1069</v>
      </c>
    </row>
    <row r="2493" spans="1:3" ht="15">
      <c r="A2493" s="90" t="s">
        <v>295</v>
      </c>
      <c r="B2493" s="89" t="s">
        <v>2794</v>
      </c>
      <c r="C2493" s="102" t="s">
        <v>1069</v>
      </c>
    </row>
    <row r="2494" spans="1:3" ht="15">
      <c r="A2494" s="90" t="s">
        <v>295</v>
      </c>
      <c r="B2494" s="89" t="s">
        <v>3536</v>
      </c>
      <c r="C2494" s="102" t="s">
        <v>1069</v>
      </c>
    </row>
    <row r="2495" spans="1:3" ht="15">
      <c r="A2495" s="90" t="s">
        <v>295</v>
      </c>
      <c r="B2495" s="89" t="s">
        <v>2795</v>
      </c>
      <c r="C2495" s="102" t="s">
        <v>1069</v>
      </c>
    </row>
    <row r="2496" spans="1:3" ht="15">
      <c r="A2496" s="90" t="s">
        <v>295</v>
      </c>
      <c r="B2496" s="89" t="s">
        <v>3180</v>
      </c>
      <c r="C2496" s="102" t="s">
        <v>1069</v>
      </c>
    </row>
    <row r="2497" spans="1:3" ht="15">
      <c r="A2497" s="90" t="s">
        <v>295</v>
      </c>
      <c r="B2497" s="89" t="s">
        <v>2796</v>
      </c>
      <c r="C2497" s="102" t="s">
        <v>1069</v>
      </c>
    </row>
    <row r="2498" spans="1:3" ht="15">
      <c r="A2498" s="90" t="s">
        <v>295</v>
      </c>
      <c r="B2498" s="89" t="s">
        <v>2741</v>
      </c>
      <c r="C2498" s="102" t="s">
        <v>1069</v>
      </c>
    </row>
    <row r="2499" spans="1:3" ht="15">
      <c r="A2499" s="90" t="s">
        <v>295</v>
      </c>
      <c r="B2499" s="89" t="s">
        <v>2797</v>
      </c>
      <c r="C2499" s="102" t="s">
        <v>1069</v>
      </c>
    </row>
    <row r="2500" spans="1:3" ht="15">
      <c r="A2500" s="90" t="s">
        <v>295</v>
      </c>
      <c r="B2500" s="89" t="s">
        <v>3153</v>
      </c>
      <c r="C2500" s="102" t="s">
        <v>1069</v>
      </c>
    </row>
    <row r="2501" spans="1:3" ht="15">
      <c r="A2501" s="90" t="s">
        <v>295</v>
      </c>
      <c r="B2501" s="89" t="s">
        <v>3201</v>
      </c>
      <c r="C2501" s="102" t="s">
        <v>1069</v>
      </c>
    </row>
    <row r="2502" spans="1:3" ht="15">
      <c r="A2502" s="90" t="s">
        <v>295</v>
      </c>
      <c r="B2502" s="89" t="s">
        <v>3155</v>
      </c>
      <c r="C2502" s="102" t="s">
        <v>1069</v>
      </c>
    </row>
    <row r="2503" spans="1:3" ht="15">
      <c r="A2503" s="90" t="s">
        <v>295</v>
      </c>
      <c r="B2503" s="89" t="s">
        <v>2798</v>
      </c>
      <c r="C2503" s="102" t="s">
        <v>1069</v>
      </c>
    </row>
    <row r="2504" spans="1:3" ht="15">
      <c r="A2504" s="90" t="s">
        <v>295</v>
      </c>
      <c r="B2504" s="89" t="s">
        <v>2759</v>
      </c>
      <c r="C2504" s="102" t="s">
        <v>1069</v>
      </c>
    </row>
    <row r="2505" spans="1:3" ht="15">
      <c r="A2505" s="90" t="s">
        <v>295</v>
      </c>
      <c r="B2505" s="89" t="s">
        <v>2758</v>
      </c>
      <c r="C2505" s="102" t="s">
        <v>1069</v>
      </c>
    </row>
    <row r="2506" spans="1:3" ht="15">
      <c r="A2506" s="90" t="s">
        <v>295</v>
      </c>
      <c r="B2506" s="89" t="s">
        <v>2745</v>
      </c>
      <c r="C2506" s="102" t="s">
        <v>1069</v>
      </c>
    </row>
    <row r="2507" spans="1:3" ht="15">
      <c r="A2507" s="90" t="s">
        <v>295</v>
      </c>
      <c r="B2507" s="89" t="s">
        <v>3145</v>
      </c>
      <c r="C2507" s="102" t="s">
        <v>1069</v>
      </c>
    </row>
    <row r="2508" spans="1:3" ht="15">
      <c r="A2508" s="90" t="s">
        <v>295</v>
      </c>
      <c r="B2508" s="89" t="s">
        <v>2799</v>
      </c>
      <c r="C2508" s="102" t="s">
        <v>1069</v>
      </c>
    </row>
    <row r="2509" spans="1:3" ht="15">
      <c r="A2509" s="90" t="s">
        <v>295</v>
      </c>
      <c r="B2509" s="89" t="s">
        <v>712</v>
      </c>
      <c r="C2509" s="102" t="s">
        <v>1069</v>
      </c>
    </row>
    <row r="2510" spans="1:3" ht="15">
      <c r="A2510" s="90" t="s">
        <v>295</v>
      </c>
      <c r="B2510" s="89" t="s">
        <v>3983</v>
      </c>
      <c r="C2510" s="102" t="s">
        <v>1069</v>
      </c>
    </row>
    <row r="2511" spans="1:3" ht="15">
      <c r="A2511" s="90" t="s">
        <v>295</v>
      </c>
      <c r="B2511" s="89" t="s">
        <v>3141</v>
      </c>
      <c r="C2511" s="102" t="s">
        <v>1069</v>
      </c>
    </row>
    <row r="2512" spans="1:3" ht="15">
      <c r="A2512" s="90" t="s">
        <v>295</v>
      </c>
      <c r="B2512" s="89" t="s">
        <v>2800</v>
      </c>
      <c r="C2512" s="102" t="s">
        <v>1069</v>
      </c>
    </row>
    <row r="2513" spans="1:3" ht="15">
      <c r="A2513" s="90" t="s">
        <v>295</v>
      </c>
      <c r="B2513" s="89" t="s">
        <v>2801</v>
      </c>
      <c r="C2513" s="102" t="s">
        <v>1069</v>
      </c>
    </row>
    <row r="2514" spans="1:3" ht="15">
      <c r="A2514" s="90" t="s">
        <v>295</v>
      </c>
      <c r="B2514" s="89" t="s">
        <v>2802</v>
      </c>
      <c r="C2514" s="102" t="s">
        <v>1069</v>
      </c>
    </row>
    <row r="2515" spans="1:3" ht="15">
      <c r="A2515" s="90" t="s">
        <v>295</v>
      </c>
      <c r="B2515" s="89" t="s">
        <v>2729</v>
      </c>
      <c r="C2515" s="102" t="s">
        <v>1069</v>
      </c>
    </row>
    <row r="2516" spans="1:3" ht="15">
      <c r="A2516" s="90" t="s">
        <v>295</v>
      </c>
      <c r="B2516" s="89" t="s">
        <v>2674</v>
      </c>
      <c r="C2516" s="102" t="s">
        <v>1069</v>
      </c>
    </row>
    <row r="2517" spans="1:3" ht="15">
      <c r="A2517" s="90" t="s">
        <v>295</v>
      </c>
      <c r="B2517" s="89" t="s">
        <v>2803</v>
      </c>
      <c r="C2517" s="102" t="s">
        <v>1069</v>
      </c>
    </row>
    <row r="2518" spans="1:3" ht="15">
      <c r="A2518" s="90" t="s">
        <v>295</v>
      </c>
      <c r="B2518" s="89" t="s">
        <v>2804</v>
      </c>
      <c r="C2518" s="102" t="s">
        <v>1069</v>
      </c>
    </row>
    <row r="2519" spans="1:3" ht="15">
      <c r="A2519" s="90" t="s">
        <v>338</v>
      </c>
      <c r="B2519" s="89" t="s">
        <v>3681</v>
      </c>
      <c r="C2519" s="102" t="s">
        <v>1138</v>
      </c>
    </row>
    <row r="2520" spans="1:3" ht="15">
      <c r="A2520" s="90" t="s">
        <v>338</v>
      </c>
      <c r="B2520" s="89" t="s">
        <v>3355</v>
      </c>
      <c r="C2520" s="102" t="s">
        <v>1138</v>
      </c>
    </row>
    <row r="2521" spans="1:3" ht="15">
      <c r="A2521" s="90" t="s">
        <v>338</v>
      </c>
      <c r="B2521" s="89" t="s">
        <v>2670</v>
      </c>
      <c r="C2521" s="102" t="s">
        <v>1138</v>
      </c>
    </row>
    <row r="2522" spans="1:3" ht="15">
      <c r="A2522" s="90" t="s">
        <v>338</v>
      </c>
      <c r="B2522" s="89" t="s">
        <v>2671</v>
      </c>
      <c r="C2522" s="102" t="s">
        <v>1138</v>
      </c>
    </row>
    <row r="2523" spans="1:3" ht="15">
      <c r="A2523" s="90" t="s">
        <v>338</v>
      </c>
      <c r="B2523" s="89" t="s">
        <v>2666</v>
      </c>
      <c r="C2523" s="102" t="s">
        <v>1138</v>
      </c>
    </row>
    <row r="2524" spans="1:3" ht="15">
      <c r="A2524" s="90" t="s">
        <v>338</v>
      </c>
      <c r="B2524" s="89" t="s">
        <v>2664</v>
      </c>
      <c r="C2524" s="102" t="s">
        <v>1138</v>
      </c>
    </row>
    <row r="2525" spans="1:3" ht="15">
      <c r="A2525" s="90" t="s">
        <v>338</v>
      </c>
      <c r="B2525" s="89" t="s">
        <v>2667</v>
      </c>
      <c r="C2525" s="102" t="s">
        <v>1138</v>
      </c>
    </row>
    <row r="2526" spans="1:3" ht="15">
      <c r="A2526" s="90" t="s">
        <v>338</v>
      </c>
      <c r="B2526" s="89" t="s">
        <v>2663</v>
      </c>
      <c r="C2526" s="102" t="s">
        <v>1138</v>
      </c>
    </row>
    <row r="2527" spans="1:3" ht="15">
      <c r="A2527" s="90" t="s">
        <v>338</v>
      </c>
      <c r="B2527" s="89" t="s">
        <v>3137</v>
      </c>
      <c r="C2527" s="102" t="s">
        <v>1138</v>
      </c>
    </row>
    <row r="2528" spans="1:3" ht="15">
      <c r="A2528" s="90" t="s">
        <v>338</v>
      </c>
      <c r="B2528" s="89" t="s">
        <v>712</v>
      </c>
      <c r="C2528" s="102" t="s">
        <v>1138</v>
      </c>
    </row>
    <row r="2529" spans="1:3" ht="15">
      <c r="A2529" s="90" t="s">
        <v>338</v>
      </c>
      <c r="B2529" s="89" t="s">
        <v>3356</v>
      </c>
      <c r="C2529" s="102" t="s">
        <v>1138</v>
      </c>
    </row>
    <row r="2530" spans="1:3" ht="15">
      <c r="A2530" s="90" t="s">
        <v>338</v>
      </c>
      <c r="B2530" s="89" t="s">
        <v>2668</v>
      </c>
      <c r="C2530" s="102" t="s">
        <v>1138</v>
      </c>
    </row>
    <row r="2531" spans="1:3" ht="15">
      <c r="A2531" s="90" t="s">
        <v>338</v>
      </c>
      <c r="B2531" s="89" t="s">
        <v>3357</v>
      </c>
      <c r="C2531" s="102" t="s">
        <v>1138</v>
      </c>
    </row>
    <row r="2532" spans="1:3" ht="15">
      <c r="A2532" s="90" t="s">
        <v>338</v>
      </c>
      <c r="B2532" s="89" t="s">
        <v>2672</v>
      </c>
      <c r="C2532" s="102" t="s">
        <v>1138</v>
      </c>
    </row>
    <row r="2533" spans="1:3" ht="15">
      <c r="A2533" s="90" t="s">
        <v>338</v>
      </c>
      <c r="B2533" s="89" t="s">
        <v>2665</v>
      </c>
      <c r="C2533" s="102" t="s">
        <v>1138</v>
      </c>
    </row>
    <row r="2534" spans="1:3" ht="15">
      <c r="A2534" s="90" t="s">
        <v>338</v>
      </c>
      <c r="B2534" s="89" t="s">
        <v>3307</v>
      </c>
      <c r="C2534" s="102" t="s">
        <v>1138</v>
      </c>
    </row>
    <row r="2535" spans="1:3" ht="15">
      <c r="A2535" s="90" t="s">
        <v>338</v>
      </c>
      <c r="B2535" s="89" t="s">
        <v>2755</v>
      </c>
      <c r="C2535" s="102" t="s">
        <v>1138</v>
      </c>
    </row>
    <row r="2536" spans="1:3" ht="15">
      <c r="A2536" s="90" t="s">
        <v>338</v>
      </c>
      <c r="B2536" s="89" t="s">
        <v>3323</v>
      </c>
      <c r="C2536" s="102" t="s">
        <v>1138</v>
      </c>
    </row>
    <row r="2537" spans="1:3" ht="15">
      <c r="A2537" s="90" t="s">
        <v>338</v>
      </c>
      <c r="B2537" s="89" t="s">
        <v>3289</v>
      </c>
      <c r="C2537" s="102" t="s">
        <v>1138</v>
      </c>
    </row>
    <row r="2538" spans="1:3" ht="15">
      <c r="A2538" s="90" t="s">
        <v>338</v>
      </c>
      <c r="B2538" s="89" t="s">
        <v>3155</v>
      </c>
      <c r="C2538" s="102" t="s">
        <v>1138</v>
      </c>
    </row>
    <row r="2539" spans="1:3" ht="15">
      <c r="A2539" s="90" t="s">
        <v>338</v>
      </c>
      <c r="B2539" s="89" t="s">
        <v>2756</v>
      </c>
      <c r="C2539" s="102" t="s">
        <v>1138</v>
      </c>
    </row>
    <row r="2540" spans="1:3" ht="15">
      <c r="A2540" s="90" t="s">
        <v>338</v>
      </c>
      <c r="B2540" s="89" t="s">
        <v>2757</v>
      </c>
      <c r="C2540" s="102" t="s">
        <v>1138</v>
      </c>
    </row>
    <row r="2541" spans="1:3" ht="15">
      <c r="A2541" s="90" t="s">
        <v>303</v>
      </c>
      <c r="B2541" s="89" t="s">
        <v>301</v>
      </c>
      <c r="C2541" s="102" t="s">
        <v>1087</v>
      </c>
    </row>
    <row r="2542" spans="1:3" ht="15">
      <c r="A2542" s="90" t="s">
        <v>303</v>
      </c>
      <c r="B2542" s="89" t="s">
        <v>3681</v>
      </c>
      <c r="C2542" s="102" t="s">
        <v>1087</v>
      </c>
    </row>
    <row r="2543" spans="1:3" ht="15">
      <c r="A2543" s="90" t="s">
        <v>303</v>
      </c>
      <c r="B2543" s="89" t="s">
        <v>65</v>
      </c>
      <c r="C2543" s="102" t="s">
        <v>1087</v>
      </c>
    </row>
    <row r="2544" spans="1:3" ht="15">
      <c r="A2544" s="90" t="s">
        <v>303</v>
      </c>
      <c r="B2544" s="89" t="s">
        <v>3984</v>
      </c>
      <c r="C2544" s="102" t="s">
        <v>1087</v>
      </c>
    </row>
    <row r="2545" spans="1:3" ht="15">
      <c r="A2545" s="90" t="s">
        <v>303</v>
      </c>
      <c r="B2545" s="89" t="s">
        <v>3985</v>
      </c>
      <c r="C2545" s="102" t="s">
        <v>1087</v>
      </c>
    </row>
    <row r="2546" spans="1:3" ht="15">
      <c r="A2546" s="90" t="s">
        <v>303</v>
      </c>
      <c r="B2546" s="89" t="s">
        <v>3882</v>
      </c>
      <c r="C2546" s="102" t="s">
        <v>1087</v>
      </c>
    </row>
    <row r="2547" spans="1:3" ht="15">
      <c r="A2547" s="90" t="s">
        <v>303</v>
      </c>
      <c r="B2547" s="89" t="s">
        <v>712</v>
      </c>
      <c r="C2547" s="102" t="s">
        <v>1087</v>
      </c>
    </row>
    <row r="2548" spans="1:3" ht="15">
      <c r="A2548" s="90" t="s">
        <v>303</v>
      </c>
      <c r="B2548" s="89" t="s">
        <v>3029</v>
      </c>
      <c r="C2548" s="102" t="s">
        <v>1087</v>
      </c>
    </row>
    <row r="2549" spans="1:3" ht="15">
      <c r="A2549" s="90" t="s">
        <v>303</v>
      </c>
      <c r="B2549" s="89" t="s">
        <v>2661</v>
      </c>
      <c r="C2549" s="102" t="s">
        <v>1087</v>
      </c>
    </row>
    <row r="2550" spans="1:3" ht="15">
      <c r="A2550" s="90" t="s">
        <v>303</v>
      </c>
      <c r="B2550" s="89" t="s">
        <v>3522</v>
      </c>
      <c r="C2550" s="102" t="s">
        <v>1087</v>
      </c>
    </row>
    <row r="2551" spans="1:3" ht="15">
      <c r="A2551" s="90" t="s">
        <v>303</v>
      </c>
      <c r="B2551" s="89" t="s">
        <v>3986</v>
      </c>
      <c r="C2551" s="102" t="s">
        <v>1087</v>
      </c>
    </row>
    <row r="2552" spans="1:3" ht="15">
      <c r="A2552" s="90" t="s">
        <v>303</v>
      </c>
      <c r="B2552" s="89" t="s">
        <v>3987</v>
      </c>
      <c r="C2552" s="102" t="s">
        <v>1087</v>
      </c>
    </row>
    <row r="2553" spans="1:3" ht="15">
      <c r="A2553" s="90" t="s">
        <v>303</v>
      </c>
      <c r="B2553" s="89" t="s">
        <v>3988</v>
      </c>
      <c r="C2553" s="102" t="s">
        <v>1087</v>
      </c>
    </row>
    <row r="2554" spans="1:3" ht="15">
      <c r="A2554" s="90" t="s">
        <v>303</v>
      </c>
      <c r="B2554" s="89" t="s">
        <v>3989</v>
      </c>
      <c r="C2554" s="102" t="s">
        <v>1087</v>
      </c>
    </row>
    <row r="2555" spans="1:3" ht="15">
      <c r="A2555" s="90" t="s">
        <v>303</v>
      </c>
      <c r="B2555" s="89" t="s">
        <v>3990</v>
      </c>
      <c r="C2555" s="102" t="s">
        <v>1087</v>
      </c>
    </row>
    <row r="2556" spans="1:3" ht="15">
      <c r="A2556" s="90" t="s">
        <v>303</v>
      </c>
      <c r="B2556" s="89" t="s">
        <v>3991</v>
      </c>
      <c r="C2556" s="102" t="s">
        <v>1087</v>
      </c>
    </row>
    <row r="2557" spans="1:3" ht="15">
      <c r="A2557" s="90" t="s">
        <v>303</v>
      </c>
      <c r="B2557" s="89" t="s">
        <v>3137</v>
      </c>
      <c r="C2557" s="102" t="s">
        <v>1087</v>
      </c>
    </row>
    <row r="2558" spans="1:3" ht="15">
      <c r="A2558" s="90" t="s">
        <v>303</v>
      </c>
      <c r="B2558" s="89" t="s">
        <v>3992</v>
      </c>
      <c r="C2558" s="102" t="s">
        <v>1087</v>
      </c>
    </row>
    <row r="2559" spans="1:3" ht="15">
      <c r="A2559" s="90" t="s">
        <v>303</v>
      </c>
      <c r="B2559" s="89" t="s">
        <v>3993</v>
      </c>
      <c r="C2559" s="102" t="s">
        <v>1087</v>
      </c>
    </row>
    <row r="2560" spans="1:3" ht="15">
      <c r="A2560" s="90" t="s">
        <v>303</v>
      </c>
      <c r="B2560" s="89" t="s">
        <v>3994</v>
      </c>
      <c r="C2560" s="102" t="s">
        <v>1087</v>
      </c>
    </row>
    <row r="2561" spans="1:3" ht="15">
      <c r="A2561" s="90" t="s">
        <v>303</v>
      </c>
      <c r="B2561" s="89" t="s">
        <v>3995</v>
      </c>
      <c r="C2561" s="102" t="s">
        <v>1087</v>
      </c>
    </row>
    <row r="2562" spans="1:3" ht="15">
      <c r="A2562" s="90" t="s">
        <v>303</v>
      </c>
      <c r="B2562" s="89" t="s">
        <v>3255</v>
      </c>
      <c r="C2562" s="102" t="s">
        <v>1087</v>
      </c>
    </row>
    <row r="2563" spans="1:3" ht="15">
      <c r="A2563" s="90" t="s">
        <v>303</v>
      </c>
      <c r="B2563" s="89" t="s">
        <v>3996</v>
      </c>
      <c r="C2563" s="102" t="s">
        <v>1087</v>
      </c>
    </row>
    <row r="2564" spans="1:3" ht="15">
      <c r="A2564" s="90" t="s">
        <v>303</v>
      </c>
      <c r="B2564" s="89" t="s">
        <v>3910</v>
      </c>
      <c r="C2564" s="102" t="s">
        <v>1087</v>
      </c>
    </row>
    <row r="2565" spans="1:3" ht="15">
      <c r="A2565" s="90" t="s">
        <v>303</v>
      </c>
      <c r="B2565" s="89" t="s">
        <v>3997</v>
      </c>
      <c r="C2565" s="102" t="s">
        <v>1087</v>
      </c>
    </row>
    <row r="2566" spans="1:3" ht="15">
      <c r="A2566" s="90" t="s">
        <v>303</v>
      </c>
      <c r="B2566" s="89" t="s">
        <v>3998</v>
      </c>
      <c r="C2566" s="102" t="s">
        <v>1087</v>
      </c>
    </row>
    <row r="2567" spans="1:3" ht="15">
      <c r="A2567" s="90" t="s">
        <v>303</v>
      </c>
      <c r="B2567" s="89" t="s">
        <v>3234</v>
      </c>
      <c r="C2567" s="102" t="s">
        <v>1087</v>
      </c>
    </row>
    <row r="2568" spans="1:3" ht="15">
      <c r="A2568" s="90" t="s">
        <v>303</v>
      </c>
      <c r="B2568" s="89" t="s">
        <v>3999</v>
      </c>
      <c r="C2568" s="102" t="s">
        <v>1087</v>
      </c>
    </row>
    <row r="2569" spans="1:3" ht="15">
      <c r="A2569" s="90" t="s">
        <v>303</v>
      </c>
      <c r="B2569" s="89" t="s">
        <v>4000</v>
      </c>
      <c r="C2569" s="102" t="s">
        <v>1087</v>
      </c>
    </row>
    <row r="2570" spans="1:3" ht="15">
      <c r="A2570" s="90" t="s">
        <v>303</v>
      </c>
      <c r="B2570" s="89" t="s">
        <v>2980</v>
      </c>
      <c r="C2570" s="102" t="s">
        <v>1087</v>
      </c>
    </row>
    <row r="2571" spans="1:3" ht="15">
      <c r="A2571" s="90" t="s">
        <v>303</v>
      </c>
      <c r="B2571" s="89" t="s">
        <v>4001</v>
      </c>
      <c r="C2571" s="102" t="s">
        <v>1087</v>
      </c>
    </row>
    <row r="2572" spans="1:3" ht="15">
      <c r="A2572" s="90" t="s">
        <v>303</v>
      </c>
      <c r="B2572" s="89" t="s">
        <v>2814</v>
      </c>
      <c r="C2572" s="102" t="s">
        <v>1087</v>
      </c>
    </row>
    <row r="2573" spans="1:3" ht="15">
      <c r="A2573" s="90" t="s">
        <v>303</v>
      </c>
      <c r="B2573" s="89" t="s">
        <v>3355</v>
      </c>
      <c r="C2573" s="102" t="s">
        <v>1137</v>
      </c>
    </row>
    <row r="2574" spans="1:3" ht="15">
      <c r="A2574" s="90" t="s">
        <v>303</v>
      </c>
      <c r="B2574" s="89" t="s">
        <v>2670</v>
      </c>
      <c r="C2574" s="102" t="s">
        <v>1137</v>
      </c>
    </row>
    <row r="2575" spans="1:3" ht="15">
      <c r="A2575" s="90" t="s">
        <v>303</v>
      </c>
      <c r="B2575" s="89" t="s">
        <v>2671</v>
      </c>
      <c r="C2575" s="102" t="s">
        <v>1137</v>
      </c>
    </row>
    <row r="2576" spans="1:3" ht="15">
      <c r="A2576" s="90" t="s">
        <v>303</v>
      </c>
      <c r="B2576" s="89" t="s">
        <v>2666</v>
      </c>
      <c r="C2576" s="102" t="s">
        <v>1137</v>
      </c>
    </row>
    <row r="2577" spans="1:3" ht="15">
      <c r="A2577" s="90" t="s">
        <v>303</v>
      </c>
      <c r="B2577" s="89" t="s">
        <v>2664</v>
      </c>
      <c r="C2577" s="102" t="s">
        <v>1137</v>
      </c>
    </row>
    <row r="2578" spans="1:3" ht="15">
      <c r="A2578" s="90" t="s">
        <v>303</v>
      </c>
      <c r="B2578" s="89" t="s">
        <v>2667</v>
      </c>
      <c r="C2578" s="102" t="s">
        <v>1137</v>
      </c>
    </row>
    <row r="2579" spans="1:3" ht="15">
      <c r="A2579" s="90" t="s">
        <v>303</v>
      </c>
      <c r="B2579" s="89" t="s">
        <v>2663</v>
      </c>
      <c r="C2579" s="102" t="s">
        <v>1137</v>
      </c>
    </row>
    <row r="2580" spans="1:3" ht="15">
      <c r="A2580" s="90" t="s">
        <v>303</v>
      </c>
      <c r="B2580" s="89" t="s">
        <v>3137</v>
      </c>
      <c r="C2580" s="102" t="s">
        <v>1137</v>
      </c>
    </row>
    <row r="2581" spans="1:3" ht="15">
      <c r="A2581" s="90" t="s">
        <v>303</v>
      </c>
      <c r="B2581" s="89" t="s">
        <v>712</v>
      </c>
      <c r="C2581" s="102" t="s">
        <v>1137</v>
      </c>
    </row>
    <row r="2582" spans="1:3" ht="15">
      <c r="A2582" s="90" t="s">
        <v>303</v>
      </c>
      <c r="B2582" s="89" t="s">
        <v>3356</v>
      </c>
      <c r="C2582" s="102" t="s">
        <v>1137</v>
      </c>
    </row>
    <row r="2583" spans="1:3" ht="15">
      <c r="A2583" s="90" t="s">
        <v>303</v>
      </c>
      <c r="B2583" s="89" t="s">
        <v>2668</v>
      </c>
      <c r="C2583" s="102" t="s">
        <v>1137</v>
      </c>
    </row>
    <row r="2584" spans="1:3" ht="15">
      <c r="A2584" s="90" t="s">
        <v>303</v>
      </c>
      <c r="B2584" s="89" t="s">
        <v>3357</v>
      </c>
      <c r="C2584" s="102" t="s">
        <v>1137</v>
      </c>
    </row>
    <row r="2585" spans="1:3" ht="15">
      <c r="A2585" s="90" t="s">
        <v>303</v>
      </c>
      <c r="B2585" s="89" t="s">
        <v>2672</v>
      </c>
      <c r="C2585" s="102" t="s">
        <v>1137</v>
      </c>
    </row>
    <row r="2586" spans="1:3" ht="15">
      <c r="A2586" s="90" t="s">
        <v>303</v>
      </c>
      <c r="B2586" s="89" t="s">
        <v>2665</v>
      </c>
      <c r="C2586" s="102" t="s">
        <v>1137</v>
      </c>
    </row>
    <row r="2587" spans="1:3" ht="15">
      <c r="A2587" s="90" t="s">
        <v>303</v>
      </c>
      <c r="B2587" s="89" t="s">
        <v>3681</v>
      </c>
      <c r="C2587" s="102" t="s">
        <v>1136</v>
      </c>
    </row>
    <row r="2588" spans="1:3" ht="15">
      <c r="A2588" s="90" t="s">
        <v>303</v>
      </c>
      <c r="B2588" s="89" t="s">
        <v>3355</v>
      </c>
      <c r="C2588" s="102" t="s">
        <v>1136</v>
      </c>
    </row>
    <row r="2589" spans="1:3" ht="15">
      <c r="A2589" s="90" t="s">
        <v>303</v>
      </c>
      <c r="B2589" s="89" t="s">
        <v>2670</v>
      </c>
      <c r="C2589" s="102" t="s">
        <v>1136</v>
      </c>
    </row>
    <row r="2590" spans="1:3" ht="15">
      <c r="A2590" s="90" t="s">
        <v>303</v>
      </c>
      <c r="B2590" s="89" t="s">
        <v>2671</v>
      </c>
      <c r="C2590" s="102" t="s">
        <v>1136</v>
      </c>
    </row>
    <row r="2591" spans="1:3" ht="15">
      <c r="A2591" s="90" t="s">
        <v>303</v>
      </c>
      <c r="B2591" s="89" t="s">
        <v>2666</v>
      </c>
      <c r="C2591" s="102" t="s">
        <v>1136</v>
      </c>
    </row>
    <row r="2592" spans="1:3" ht="15">
      <c r="A2592" s="90" t="s">
        <v>303</v>
      </c>
      <c r="B2592" s="89" t="s">
        <v>2664</v>
      </c>
      <c r="C2592" s="102" t="s">
        <v>1136</v>
      </c>
    </row>
    <row r="2593" spans="1:3" ht="15">
      <c r="A2593" s="90" t="s">
        <v>303</v>
      </c>
      <c r="B2593" s="89" t="s">
        <v>2667</v>
      </c>
      <c r="C2593" s="102" t="s">
        <v>1136</v>
      </c>
    </row>
    <row r="2594" spans="1:3" ht="15">
      <c r="A2594" s="90" t="s">
        <v>303</v>
      </c>
      <c r="B2594" s="89" t="s">
        <v>2663</v>
      </c>
      <c r="C2594" s="102" t="s">
        <v>1136</v>
      </c>
    </row>
    <row r="2595" spans="1:3" ht="15">
      <c r="A2595" s="90" t="s">
        <v>303</v>
      </c>
      <c r="B2595" s="89" t="s">
        <v>3137</v>
      </c>
      <c r="C2595" s="102" t="s">
        <v>1136</v>
      </c>
    </row>
    <row r="2596" spans="1:3" ht="15">
      <c r="A2596" s="90" t="s">
        <v>303</v>
      </c>
      <c r="B2596" s="89" t="s">
        <v>712</v>
      </c>
      <c r="C2596" s="102" t="s">
        <v>1136</v>
      </c>
    </row>
    <row r="2597" spans="1:3" ht="15">
      <c r="A2597" s="90" t="s">
        <v>303</v>
      </c>
      <c r="B2597" s="89" t="s">
        <v>3356</v>
      </c>
      <c r="C2597" s="102" t="s">
        <v>1136</v>
      </c>
    </row>
    <row r="2598" spans="1:3" ht="15">
      <c r="A2598" s="90" t="s">
        <v>303</v>
      </c>
      <c r="B2598" s="89" t="s">
        <v>2668</v>
      </c>
      <c r="C2598" s="102" t="s">
        <v>1136</v>
      </c>
    </row>
    <row r="2599" spans="1:3" ht="15">
      <c r="A2599" s="90" t="s">
        <v>303</v>
      </c>
      <c r="B2599" s="89" t="s">
        <v>3357</v>
      </c>
      <c r="C2599" s="102" t="s">
        <v>1136</v>
      </c>
    </row>
    <row r="2600" spans="1:3" ht="15">
      <c r="A2600" s="90" t="s">
        <v>303</v>
      </c>
      <c r="B2600" s="89" t="s">
        <v>2672</v>
      </c>
      <c r="C2600" s="102" t="s">
        <v>1136</v>
      </c>
    </row>
    <row r="2601" spans="1:3" ht="15">
      <c r="A2601" s="90" t="s">
        <v>303</v>
      </c>
      <c r="B2601" s="89" t="s">
        <v>2665</v>
      </c>
      <c r="C2601" s="102" t="s">
        <v>1136</v>
      </c>
    </row>
    <row r="2602" spans="1:3" ht="15">
      <c r="A2602" s="90" t="s">
        <v>303</v>
      </c>
      <c r="B2602" s="89" t="s">
        <v>3307</v>
      </c>
      <c r="C2602" s="102" t="s">
        <v>1136</v>
      </c>
    </row>
    <row r="2603" spans="1:3" ht="15">
      <c r="A2603" s="90" t="s">
        <v>303</v>
      </c>
      <c r="B2603" s="89" t="s">
        <v>2755</v>
      </c>
      <c r="C2603" s="102" t="s">
        <v>1136</v>
      </c>
    </row>
    <row r="2604" spans="1:3" ht="15">
      <c r="A2604" s="90" t="s">
        <v>303</v>
      </c>
      <c r="B2604" s="89" t="s">
        <v>3323</v>
      </c>
      <c r="C2604" s="102" t="s">
        <v>1136</v>
      </c>
    </row>
    <row r="2605" spans="1:3" ht="15">
      <c r="A2605" s="90" t="s">
        <v>303</v>
      </c>
      <c r="B2605" s="89" t="s">
        <v>3289</v>
      </c>
      <c r="C2605" s="102" t="s">
        <v>1136</v>
      </c>
    </row>
    <row r="2606" spans="1:3" ht="15">
      <c r="A2606" s="90" t="s">
        <v>303</v>
      </c>
      <c r="B2606" s="89" t="s">
        <v>3155</v>
      </c>
      <c r="C2606" s="102" t="s">
        <v>1136</v>
      </c>
    </row>
    <row r="2607" spans="1:3" ht="15">
      <c r="A2607" s="90" t="s">
        <v>303</v>
      </c>
      <c r="B2607" s="89" t="s">
        <v>2756</v>
      </c>
      <c r="C2607" s="102" t="s">
        <v>1136</v>
      </c>
    </row>
    <row r="2608" spans="1:3" ht="15">
      <c r="A2608" s="90" t="s">
        <v>303</v>
      </c>
      <c r="B2608" s="89" t="s">
        <v>2757</v>
      </c>
      <c r="C2608" s="102" t="s">
        <v>1136</v>
      </c>
    </row>
    <row r="2609" spans="1:3" ht="15">
      <c r="A2609" s="90" t="s">
        <v>301</v>
      </c>
      <c r="B2609" s="89" t="s">
        <v>303</v>
      </c>
      <c r="C2609" s="102" t="s">
        <v>1086</v>
      </c>
    </row>
    <row r="2610" spans="1:3" ht="15">
      <c r="A2610" s="90" t="s">
        <v>301</v>
      </c>
      <c r="B2610" s="89" t="s">
        <v>3681</v>
      </c>
      <c r="C2610" s="102" t="s">
        <v>1086</v>
      </c>
    </row>
    <row r="2611" spans="1:3" ht="15">
      <c r="A2611" s="90" t="s">
        <v>301</v>
      </c>
      <c r="B2611" s="89" t="s">
        <v>3204</v>
      </c>
      <c r="C2611" s="102" t="s">
        <v>1086</v>
      </c>
    </row>
    <row r="2612" spans="1:3" ht="15">
      <c r="A2612" s="90" t="s">
        <v>301</v>
      </c>
      <c r="B2612" s="89" t="s">
        <v>3141</v>
      </c>
      <c r="C2612" s="102" t="s">
        <v>1086</v>
      </c>
    </row>
    <row r="2613" spans="1:3" ht="15">
      <c r="A2613" s="90" t="s">
        <v>301</v>
      </c>
      <c r="B2613" s="89" t="s">
        <v>3661</v>
      </c>
      <c r="C2613" s="102" t="s">
        <v>1086</v>
      </c>
    </row>
    <row r="2614" spans="1:3" ht="15">
      <c r="A2614" s="90" t="s">
        <v>301</v>
      </c>
      <c r="B2614" s="89" t="s">
        <v>4002</v>
      </c>
      <c r="C2614" s="102" t="s">
        <v>1086</v>
      </c>
    </row>
    <row r="2615" spans="1:3" ht="15">
      <c r="A2615" s="90" t="s">
        <v>301</v>
      </c>
      <c r="B2615" s="89" t="s">
        <v>2766</v>
      </c>
      <c r="C2615" s="102" t="s">
        <v>1086</v>
      </c>
    </row>
    <row r="2616" spans="1:3" ht="15">
      <c r="A2616" s="90" t="s">
        <v>301</v>
      </c>
      <c r="B2616" s="89" t="s">
        <v>3137</v>
      </c>
      <c r="C2616" s="102" t="s">
        <v>1086</v>
      </c>
    </row>
    <row r="2617" spans="1:3" ht="15">
      <c r="A2617" s="90" t="s">
        <v>301</v>
      </c>
      <c r="B2617" s="89" t="s">
        <v>2897</v>
      </c>
      <c r="C2617" s="102" t="s">
        <v>1086</v>
      </c>
    </row>
    <row r="2618" spans="1:3" ht="15">
      <c r="A2618" s="90" t="s">
        <v>301</v>
      </c>
      <c r="B2618" s="89" t="s">
        <v>2681</v>
      </c>
      <c r="C2618" s="102" t="s">
        <v>1086</v>
      </c>
    </row>
    <row r="2619" spans="1:3" ht="15">
      <c r="A2619" s="90" t="s">
        <v>301</v>
      </c>
      <c r="B2619" s="89" t="s">
        <v>3018</v>
      </c>
      <c r="C2619" s="102" t="s">
        <v>1086</v>
      </c>
    </row>
    <row r="2620" spans="1:3" ht="15">
      <c r="A2620" s="90" t="s">
        <v>301</v>
      </c>
      <c r="B2620" s="89" t="s">
        <v>3385</v>
      </c>
      <c r="C2620" s="102" t="s">
        <v>1086</v>
      </c>
    </row>
    <row r="2621" spans="1:3" ht="15">
      <c r="A2621" s="90" t="s">
        <v>301</v>
      </c>
      <c r="B2621" s="89" t="s">
        <v>4003</v>
      </c>
      <c r="C2621" s="102" t="s">
        <v>1086</v>
      </c>
    </row>
    <row r="2622" spans="1:3" ht="15">
      <c r="A2622" s="90" t="s">
        <v>301</v>
      </c>
      <c r="B2622" s="89" t="s">
        <v>4004</v>
      </c>
      <c r="C2622" s="102" t="s">
        <v>1086</v>
      </c>
    </row>
    <row r="2623" spans="1:3" ht="15">
      <c r="A2623" s="90" t="s">
        <v>301</v>
      </c>
      <c r="B2623" s="89" t="s">
        <v>4005</v>
      </c>
      <c r="C2623" s="102" t="s">
        <v>1086</v>
      </c>
    </row>
    <row r="2624" spans="1:3" ht="15">
      <c r="A2624" s="90" t="s">
        <v>301</v>
      </c>
      <c r="B2624" s="89" t="s">
        <v>4006</v>
      </c>
      <c r="C2624" s="102" t="s">
        <v>1086</v>
      </c>
    </row>
    <row r="2625" spans="1:3" ht="15">
      <c r="A2625" s="90" t="s">
        <v>301</v>
      </c>
      <c r="B2625" s="89" t="s">
        <v>3783</v>
      </c>
      <c r="C2625" s="102" t="s">
        <v>1086</v>
      </c>
    </row>
    <row r="2626" spans="1:3" ht="15">
      <c r="A2626" s="90" t="s">
        <v>301</v>
      </c>
      <c r="B2626" s="89" t="s">
        <v>4007</v>
      </c>
      <c r="C2626" s="102" t="s">
        <v>1086</v>
      </c>
    </row>
    <row r="2627" spans="1:3" ht="15">
      <c r="A2627" s="90" t="s">
        <v>301</v>
      </c>
      <c r="B2627" s="89" t="s">
        <v>4008</v>
      </c>
      <c r="C2627" s="102" t="s">
        <v>1086</v>
      </c>
    </row>
    <row r="2628" spans="1:3" ht="15">
      <c r="A2628" s="90" t="s">
        <v>301</v>
      </c>
      <c r="B2628" s="89" t="s">
        <v>3724</v>
      </c>
      <c r="C2628" s="102" t="s">
        <v>1086</v>
      </c>
    </row>
    <row r="2629" spans="1:3" ht="15">
      <c r="A2629" s="90" t="s">
        <v>301</v>
      </c>
      <c r="B2629" s="89" t="s">
        <v>4009</v>
      </c>
      <c r="C2629" s="102" t="s">
        <v>1086</v>
      </c>
    </row>
    <row r="2630" spans="1:3" ht="15">
      <c r="A2630" s="90" t="s">
        <v>301</v>
      </c>
      <c r="B2630" s="89" t="s">
        <v>4010</v>
      </c>
      <c r="C2630" s="102" t="s">
        <v>1086</v>
      </c>
    </row>
    <row r="2631" spans="1:3" ht="15">
      <c r="A2631" s="90" t="s">
        <v>301</v>
      </c>
      <c r="B2631" s="89" t="s">
        <v>4011</v>
      </c>
      <c r="C2631" s="102" t="s">
        <v>1086</v>
      </c>
    </row>
    <row r="2632" spans="1:3" ht="15">
      <c r="A2632" s="90" t="s">
        <v>301</v>
      </c>
      <c r="B2632" s="89" t="s">
        <v>4012</v>
      </c>
      <c r="C2632" s="102" t="s">
        <v>1086</v>
      </c>
    </row>
    <row r="2633" spans="1:3" ht="15">
      <c r="A2633" s="90" t="s">
        <v>301</v>
      </c>
      <c r="B2633" s="89" t="s">
        <v>4013</v>
      </c>
      <c r="C2633" s="102" t="s">
        <v>1086</v>
      </c>
    </row>
    <row r="2634" spans="1:3" ht="15">
      <c r="A2634" s="90" t="s">
        <v>301</v>
      </c>
      <c r="B2634" s="89" t="s">
        <v>4014</v>
      </c>
      <c r="C2634" s="102" t="s">
        <v>1086</v>
      </c>
    </row>
    <row r="2635" spans="1:3" ht="15">
      <c r="A2635" s="90" t="s">
        <v>301</v>
      </c>
      <c r="B2635" s="89" t="s">
        <v>4015</v>
      </c>
      <c r="C2635" s="102" t="s">
        <v>1086</v>
      </c>
    </row>
    <row r="2636" spans="1:3" ht="15">
      <c r="A2636" s="90" t="s">
        <v>301</v>
      </c>
      <c r="B2636" s="89" t="s">
        <v>3169</v>
      </c>
      <c r="C2636" s="102" t="s">
        <v>1086</v>
      </c>
    </row>
    <row r="2637" spans="1:3" ht="15">
      <c r="A2637" s="90" t="s">
        <v>301</v>
      </c>
      <c r="B2637" s="89" t="s">
        <v>2972</v>
      </c>
      <c r="C2637" s="102" t="s">
        <v>1086</v>
      </c>
    </row>
    <row r="2638" spans="1:3" ht="15">
      <c r="A2638" s="90" t="s">
        <v>294</v>
      </c>
      <c r="B2638" s="89" t="s">
        <v>3681</v>
      </c>
      <c r="C2638" s="102" t="s">
        <v>1067</v>
      </c>
    </row>
    <row r="2639" spans="1:3" ht="15">
      <c r="A2639" s="90" t="s">
        <v>294</v>
      </c>
      <c r="B2639" s="89" t="s">
        <v>3355</v>
      </c>
      <c r="C2639" s="102" t="s">
        <v>1067</v>
      </c>
    </row>
    <row r="2640" spans="1:3" ht="15">
      <c r="A2640" s="90" t="s">
        <v>294</v>
      </c>
      <c r="B2640" s="89" t="s">
        <v>2670</v>
      </c>
      <c r="C2640" s="102" t="s">
        <v>1067</v>
      </c>
    </row>
    <row r="2641" spans="1:3" ht="15">
      <c r="A2641" s="90" t="s">
        <v>294</v>
      </c>
      <c r="B2641" s="89" t="s">
        <v>2671</v>
      </c>
      <c r="C2641" s="102" t="s">
        <v>1067</v>
      </c>
    </row>
    <row r="2642" spans="1:3" ht="15">
      <c r="A2642" s="90" t="s">
        <v>294</v>
      </c>
      <c r="B2642" s="89" t="s">
        <v>2666</v>
      </c>
      <c r="C2642" s="102" t="s">
        <v>1067</v>
      </c>
    </row>
    <row r="2643" spans="1:3" ht="15">
      <c r="A2643" s="90" t="s">
        <v>294</v>
      </c>
      <c r="B2643" s="89" t="s">
        <v>2664</v>
      </c>
      <c r="C2643" s="102" t="s">
        <v>1067</v>
      </c>
    </row>
    <row r="2644" spans="1:3" ht="15">
      <c r="A2644" s="90" t="s">
        <v>294</v>
      </c>
      <c r="B2644" s="89" t="s">
        <v>2667</v>
      </c>
      <c r="C2644" s="102" t="s">
        <v>1067</v>
      </c>
    </row>
    <row r="2645" spans="1:3" ht="15">
      <c r="A2645" s="90" t="s">
        <v>294</v>
      </c>
      <c r="B2645" s="89" t="s">
        <v>2663</v>
      </c>
      <c r="C2645" s="102" t="s">
        <v>1067</v>
      </c>
    </row>
    <row r="2646" spans="1:3" ht="15">
      <c r="A2646" s="90" t="s">
        <v>294</v>
      </c>
      <c r="B2646" s="89" t="s">
        <v>3137</v>
      </c>
      <c r="C2646" s="102" t="s">
        <v>1067</v>
      </c>
    </row>
    <row r="2647" spans="1:3" ht="15">
      <c r="A2647" s="90" t="s">
        <v>294</v>
      </c>
      <c r="B2647" s="89" t="s">
        <v>712</v>
      </c>
      <c r="C2647" s="102" t="s">
        <v>1067</v>
      </c>
    </row>
    <row r="2648" spans="1:3" ht="15">
      <c r="A2648" s="90" t="s">
        <v>294</v>
      </c>
      <c r="B2648" s="89" t="s">
        <v>3356</v>
      </c>
      <c r="C2648" s="102" t="s">
        <v>1067</v>
      </c>
    </row>
    <row r="2649" spans="1:3" ht="15">
      <c r="A2649" s="90" t="s">
        <v>294</v>
      </c>
      <c r="B2649" s="89" t="s">
        <v>2668</v>
      </c>
      <c r="C2649" s="102" t="s">
        <v>1067</v>
      </c>
    </row>
    <row r="2650" spans="1:3" ht="15">
      <c r="A2650" s="90" t="s">
        <v>294</v>
      </c>
      <c r="B2650" s="89" t="s">
        <v>3357</v>
      </c>
      <c r="C2650" s="102" t="s">
        <v>1067</v>
      </c>
    </row>
    <row r="2651" spans="1:3" ht="15">
      <c r="A2651" s="90" t="s">
        <v>294</v>
      </c>
      <c r="B2651" s="89" t="s">
        <v>2672</v>
      </c>
      <c r="C2651" s="102" t="s">
        <v>1067</v>
      </c>
    </row>
    <row r="2652" spans="1:3" ht="15">
      <c r="A2652" s="90" t="s">
        <v>294</v>
      </c>
      <c r="B2652" s="89" t="s">
        <v>2665</v>
      </c>
      <c r="C2652" s="102" t="s">
        <v>1067</v>
      </c>
    </row>
    <row r="2653" spans="1:3" ht="15">
      <c r="A2653" s="90" t="s">
        <v>294</v>
      </c>
      <c r="B2653" s="89" t="s">
        <v>3307</v>
      </c>
      <c r="C2653" s="102" t="s">
        <v>1067</v>
      </c>
    </row>
    <row r="2654" spans="1:3" ht="15">
      <c r="A2654" s="90" t="s">
        <v>294</v>
      </c>
      <c r="B2654" s="89" t="s">
        <v>2755</v>
      </c>
      <c r="C2654" s="102" t="s">
        <v>1067</v>
      </c>
    </row>
    <row r="2655" spans="1:3" ht="15">
      <c r="A2655" s="90" t="s">
        <v>294</v>
      </c>
      <c r="B2655" s="89" t="s">
        <v>3323</v>
      </c>
      <c r="C2655" s="102" t="s">
        <v>1067</v>
      </c>
    </row>
    <row r="2656" spans="1:3" ht="15">
      <c r="A2656" s="90" t="s">
        <v>294</v>
      </c>
      <c r="B2656" s="89" t="s">
        <v>3289</v>
      </c>
      <c r="C2656" s="102" t="s">
        <v>1067</v>
      </c>
    </row>
    <row r="2657" spans="1:3" ht="15">
      <c r="A2657" s="90" t="s">
        <v>294</v>
      </c>
      <c r="B2657" s="89" t="s">
        <v>3155</v>
      </c>
      <c r="C2657" s="102" t="s">
        <v>1067</v>
      </c>
    </row>
    <row r="2658" spans="1:3" ht="15">
      <c r="A2658" s="90" t="s">
        <v>294</v>
      </c>
      <c r="B2658" s="89" t="s">
        <v>2756</v>
      </c>
      <c r="C2658" s="102" t="s">
        <v>1067</v>
      </c>
    </row>
    <row r="2659" spans="1:3" ht="15">
      <c r="A2659" s="90" t="s">
        <v>294</v>
      </c>
      <c r="B2659" s="89" t="s">
        <v>2757</v>
      </c>
      <c r="C2659" s="102" t="s">
        <v>1067</v>
      </c>
    </row>
    <row r="2660" spans="1:3" ht="15">
      <c r="A2660" s="90" t="s">
        <v>293</v>
      </c>
      <c r="B2660" s="89" t="s">
        <v>3355</v>
      </c>
      <c r="C2660" s="102" t="s">
        <v>1066</v>
      </c>
    </row>
    <row r="2661" spans="1:3" ht="15">
      <c r="A2661" s="90" t="s">
        <v>293</v>
      </c>
      <c r="B2661" s="89" t="s">
        <v>2670</v>
      </c>
      <c r="C2661" s="102" t="s">
        <v>1066</v>
      </c>
    </row>
    <row r="2662" spans="1:3" ht="15">
      <c r="A2662" s="90" t="s">
        <v>293</v>
      </c>
      <c r="B2662" s="89" t="s">
        <v>2671</v>
      </c>
      <c r="C2662" s="102" t="s">
        <v>1066</v>
      </c>
    </row>
    <row r="2663" spans="1:3" ht="15">
      <c r="A2663" s="90" t="s">
        <v>293</v>
      </c>
      <c r="B2663" s="89" t="s">
        <v>2666</v>
      </c>
      <c r="C2663" s="102" t="s">
        <v>1066</v>
      </c>
    </row>
    <row r="2664" spans="1:3" ht="15">
      <c r="A2664" s="90" t="s">
        <v>293</v>
      </c>
      <c r="B2664" s="89" t="s">
        <v>2664</v>
      </c>
      <c r="C2664" s="102" t="s">
        <v>1066</v>
      </c>
    </row>
    <row r="2665" spans="1:3" ht="15">
      <c r="A2665" s="90" t="s">
        <v>293</v>
      </c>
      <c r="B2665" s="89" t="s">
        <v>2667</v>
      </c>
      <c r="C2665" s="102" t="s">
        <v>1066</v>
      </c>
    </row>
    <row r="2666" spans="1:3" ht="15">
      <c r="A2666" s="90" t="s">
        <v>293</v>
      </c>
      <c r="B2666" s="89" t="s">
        <v>2663</v>
      </c>
      <c r="C2666" s="102" t="s">
        <v>1066</v>
      </c>
    </row>
    <row r="2667" spans="1:3" ht="15">
      <c r="A2667" s="90" t="s">
        <v>293</v>
      </c>
      <c r="B2667" s="89" t="s">
        <v>3137</v>
      </c>
      <c r="C2667" s="102" t="s">
        <v>1066</v>
      </c>
    </row>
    <row r="2668" spans="1:3" ht="15">
      <c r="A2668" s="90" t="s">
        <v>293</v>
      </c>
      <c r="B2668" s="89" t="s">
        <v>712</v>
      </c>
      <c r="C2668" s="102" t="s">
        <v>1066</v>
      </c>
    </row>
    <row r="2669" spans="1:3" ht="15">
      <c r="A2669" s="90" t="s">
        <v>293</v>
      </c>
      <c r="B2669" s="89" t="s">
        <v>3356</v>
      </c>
      <c r="C2669" s="102" t="s">
        <v>1066</v>
      </c>
    </row>
    <row r="2670" spans="1:3" ht="15">
      <c r="A2670" s="90" t="s">
        <v>293</v>
      </c>
      <c r="B2670" s="89" t="s">
        <v>2668</v>
      </c>
      <c r="C2670" s="102" t="s">
        <v>1066</v>
      </c>
    </row>
    <row r="2671" spans="1:3" ht="15">
      <c r="A2671" s="90" t="s">
        <v>293</v>
      </c>
      <c r="B2671" s="89" t="s">
        <v>3357</v>
      </c>
      <c r="C2671" s="102" t="s">
        <v>1066</v>
      </c>
    </row>
    <row r="2672" spans="1:3" ht="15">
      <c r="A2672" s="90" t="s">
        <v>293</v>
      </c>
      <c r="B2672" s="89" t="s">
        <v>2672</v>
      </c>
      <c r="C2672" s="102" t="s">
        <v>1066</v>
      </c>
    </row>
    <row r="2673" spans="1:3" ht="15">
      <c r="A2673" s="90" t="s">
        <v>293</v>
      </c>
      <c r="B2673" s="89" t="s">
        <v>2665</v>
      </c>
      <c r="C2673" s="102" t="s">
        <v>1066</v>
      </c>
    </row>
    <row r="2674" spans="1:3" ht="15">
      <c r="A2674" s="90" t="s">
        <v>292</v>
      </c>
      <c r="B2674" s="89" t="s">
        <v>460</v>
      </c>
      <c r="C2674" s="102" t="s">
        <v>1065</v>
      </c>
    </row>
    <row r="2675" spans="1:3" ht="15">
      <c r="A2675" s="90" t="s">
        <v>292</v>
      </c>
      <c r="B2675" s="89" t="s">
        <v>3245</v>
      </c>
      <c r="C2675" s="102" t="s">
        <v>1065</v>
      </c>
    </row>
    <row r="2676" spans="1:3" ht="15">
      <c r="A2676" s="90" t="s">
        <v>292</v>
      </c>
      <c r="B2676" s="89" t="s">
        <v>3247</v>
      </c>
      <c r="C2676" s="102" t="s">
        <v>1065</v>
      </c>
    </row>
    <row r="2677" spans="1:3" ht="15">
      <c r="A2677" s="90" t="s">
        <v>292</v>
      </c>
      <c r="B2677" s="89" t="s">
        <v>331</v>
      </c>
      <c r="C2677" s="102" t="s">
        <v>1064</v>
      </c>
    </row>
    <row r="2678" spans="1:3" ht="15">
      <c r="A2678" s="90" t="s">
        <v>292</v>
      </c>
      <c r="B2678" s="89" t="s">
        <v>460</v>
      </c>
      <c r="C2678" s="102" t="s">
        <v>1064</v>
      </c>
    </row>
    <row r="2679" spans="1:3" ht="15">
      <c r="A2679" s="90" t="s">
        <v>292</v>
      </c>
      <c r="B2679" s="89" t="s">
        <v>3245</v>
      </c>
      <c r="C2679" s="102" t="s">
        <v>1064</v>
      </c>
    </row>
    <row r="2680" spans="1:3" ht="15">
      <c r="A2680" s="90" t="s">
        <v>292</v>
      </c>
      <c r="B2680" s="89" t="s">
        <v>3247</v>
      </c>
      <c r="C2680" s="102" t="s">
        <v>1064</v>
      </c>
    </row>
    <row r="2681" spans="1:3" ht="15">
      <c r="A2681" s="90" t="s">
        <v>292</v>
      </c>
      <c r="B2681" s="89" t="s">
        <v>3245</v>
      </c>
      <c r="C2681" s="102" t="s">
        <v>1092</v>
      </c>
    </row>
    <row r="2682" spans="1:3" ht="15">
      <c r="A2682" s="90" t="s">
        <v>292</v>
      </c>
      <c r="B2682" s="89" t="s">
        <v>3247</v>
      </c>
      <c r="C2682" s="102" t="s">
        <v>1092</v>
      </c>
    </row>
    <row r="2683" spans="1:3" ht="15">
      <c r="A2683" s="90" t="s">
        <v>292</v>
      </c>
      <c r="B2683" s="89" t="s">
        <v>3204</v>
      </c>
      <c r="C2683" s="102" t="s">
        <v>1092</v>
      </c>
    </row>
    <row r="2684" spans="1:3" ht="15">
      <c r="A2684" s="90" t="s">
        <v>292</v>
      </c>
      <c r="B2684" s="89" t="s">
        <v>4016</v>
      </c>
      <c r="C2684" s="102" t="s">
        <v>1092</v>
      </c>
    </row>
    <row r="2685" spans="1:3" ht="15">
      <c r="A2685" s="90" t="s">
        <v>292</v>
      </c>
      <c r="B2685" s="89" t="s">
        <v>3141</v>
      </c>
      <c r="C2685" s="102" t="s">
        <v>1092</v>
      </c>
    </row>
    <row r="2686" spans="1:3" ht="15">
      <c r="A2686" s="90" t="s">
        <v>292</v>
      </c>
      <c r="B2686" s="89" t="s">
        <v>4017</v>
      </c>
      <c r="C2686" s="102" t="s">
        <v>1092</v>
      </c>
    </row>
    <row r="2687" spans="1:3" ht="15">
      <c r="A2687" s="90" t="s">
        <v>292</v>
      </c>
      <c r="B2687" s="89" t="s">
        <v>4018</v>
      </c>
      <c r="C2687" s="102" t="s">
        <v>1092</v>
      </c>
    </row>
    <row r="2688" spans="1:3" ht="15">
      <c r="A2688" s="90" t="s">
        <v>292</v>
      </c>
      <c r="B2688" s="89" t="s">
        <v>4019</v>
      </c>
      <c r="C2688" s="102" t="s">
        <v>1092</v>
      </c>
    </row>
    <row r="2689" spans="1:3" ht="15">
      <c r="A2689" s="90" t="s">
        <v>292</v>
      </c>
      <c r="B2689" s="89" t="s">
        <v>2898</v>
      </c>
      <c r="C2689" s="102" t="s">
        <v>1092</v>
      </c>
    </row>
    <row r="2690" spans="1:3" ht="15">
      <c r="A2690" s="90" t="s">
        <v>292</v>
      </c>
      <c r="B2690" s="89" t="s">
        <v>4020</v>
      </c>
      <c r="C2690" s="102" t="s">
        <v>1092</v>
      </c>
    </row>
    <row r="2691" spans="1:3" ht="15">
      <c r="A2691" s="90" t="s">
        <v>292</v>
      </c>
      <c r="B2691" s="89" t="s">
        <v>3030</v>
      </c>
      <c r="C2691" s="102" t="s">
        <v>1092</v>
      </c>
    </row>
    <row r="2692" spans="1:3" ht="15">
      <c r="A2692" s="90" t="s">
        <v>292</v>
      </c>
      <c r="B2692" s="89" t="s">
        <v>3299</v>
      </c>
      <c r="C2692" s="102" t="s">
        <v>1092</v>
      </c>
    </row>
    <row r="2693" spans="1:3" ht="15">
      <c r="A2693" s="90" t="s">
        <v>292</v>
      </c>
      <c r="B2693" s="89" t="s">
        <v>4021</v>
      </c>
      <c r="C2693" s="102" t="s">
        <v>1092</v>
      </c>
    </row>
    <row r="2694" spans="1:3" ht="15">
      <c r="A2694" s="90" t="s">
        <v>292</v>
      </c>
      <c r="B2694" s="89" t="s">
        <v>3211</v>
      </c>
      <c r="C2694" s="102" t="s">
        <v>1092</v>
      </c>
    </row>
    <row r="2695" spans="1:3" ht="15">
      <c r="A2695" s="90" t="s">
        <v>292</v>
      </c>
      <c r="B2695" s="89" t="s">
        <v>4022</v>
      </c>
      <c r="C2695" s="102" t="s">
        <v>1092</v>
      </c>
    </row>
    <row r="2696" spans="1:3" ht="15">
      <c r="A2696" s="90" t="s">
        <v>292</v>
      </c>
      <c r="B2696" s="89" t="s">
        <v>4023</v>
      </c>
      <c r="C2696" s="102" t="s">
        <v>1092</v>
      </c>
    </row>
    <row r="2697" spans="1:3" ht="15">
      <c r="A2697" s="90" t="s">
        <v>292</v>
      </c>
      <c r="B2697" s="89" t="s">
        <v>2787</v>
      </c>
      <c r="C2697" s="102" t="s">
        <v>1092</v>
      </c>
    </row>
    <row r="2698" spans="1:3" ht="15">
      <c r="A2698" s="90" t="s">
        <v>292</v>
      </c>
      <c r="B2698" s="89" t="s">
        <v>3346</v>
      </c>
      <c r="C2698" s="102" t="s">
        <v>1092</v>
      </c>
    </row>
    <row r="2699" spans="1:3" ht="15">
      <c r="A2699" s="90" t="s">
        <v>292</v>
      </c>
      <c r="B2699" s="89" t="s">
        <v>4024</v>
      </c>
      <c r="C2699" s="102" t="s">
        <v>1092</v>
      </c>
    </row>
    <row r="2700" spans="1:3" ht="15">
      <c r="A2700" s="90" t="s">
        <v>292</v>
      </c>
      <c r="B2700" s="89" t="s">
        <v>4025</v>
      </c>
      <c r="C2700" s="102" t="s">
        <v>1092</v>
      </c>
    </row>
    <row r="2701" spans="1:3" ht="15">
      <c r="A2701" s="90" t="s">
        <v>292</v>
      </c>
      <c r="B2701" s="89" t="s">
        <v>4026</v>
      </c>
      <c r="C2701" s="102" t="s">
        <v>1092</v>
      </c>
    </row>
    <row r="2702" spans="1:3" ht="15">
      <c r="A2702" s="90" t="s">
        <v>292</v>
      </c>
      <c r="B2702" s="89" t="s">
        <v>4027</v>
      </c>
      <c r="C2702" s="102" t="s">
        <v>1092</v>
      </c>
    </row>
    <row r="2703" spans="1:3" ht="15">
      <c r="A2703" s="90" t="s">
        <v>292</v>
      </c>
      <c r="B2703" s="89" t="s">
        <v>4028</v>
      </c>
      <c r="C2703" s="102" t="s">
        <v>1092</v>
      </c>
    </row>
    <row r="2704" spans="1:3" ht="15">
      <c r="A2704" s="90" t="s">
        <v>292</v>
      </c>
      <c r="B2704" s="89" t="s">
        <v>4029</v>
      </c>
      <c r="C2704" s="102" t="s">
        <v>1092</v>
      </c>
    </row>
    <row r="2705" spans="1:3" ht="15">
      <c r="A2705" s="90" t="s">
        <v>292</v>
      </c>
      <c r="B2705" s="89" t="s">
        <v>4030</v>
      </c>
      <c r="C2705" s="102" t="s">
        <v>1092</v>
      </c>
    </row>
    <row r="2706" spans="1:3" ht="15">
      <c r="A2706" s="90" t="s">
        <v>292</v>
      </c>
      <c r="B2706" s="89" t="s">
        <v>3137</v>
      </c>
      <c r="C2706" s="102" t="s">
        <v>1092</v>
      </c>
    </row>
    <row r="2707" spans="1:3" ht="15">
      <c r="A2707" s="90" t="s">
        <v>292</v>
      </c>
      <c r="B2707" s="89" t="s">
        <v>4031</v>
      </c>
      <c r="C2707" s="102" t="s">
        <v>1092</v>
      </c>
    </row>
    <row r="2708" spans="1:3" ht="15">
      <c r="A2708" s="90" t="s">
        <v>292</v>
      </c>
      <c r="B2708" s="89" t="s">
        <v>4032</v>
      </c>
      <c r="C2708" s="102" t="s">
        <v>1092</v>
      </c>
    </row>
    <row r="2709" spans="1:3" ht="15">
      <c r="A2709" s="90" t="s">
        <v>292</v>
      </c>
      <c r="B2709" s="89" t="s">
        <v>4033</v>
      </c>
      <c r="C2709" s="102" t="s">
        <v>1092</v>
      </c>
    </row>
    <row r="2710" spans="1:3" ht="15">
      <c r="A2710" s="90" t="s">
        <v>292</v>
      </c>
      <c r="B2710" s="89" t="s">
        <v>3245</v>
      </c>
      <c r="C2710" s="102" t="s">
        <v>1091</v>
      </c>
    </row>
    <row r="2711" spans="1:3" ht="15">
      <c r="A2711" s="90" t="s">
        <v>292</v>
      </c>
      <c r="B2711" s="89" t="s">
        <v>3247</v>
      </c>
      <c r="C2711" s="102" t="s">
        <v>1091</v>
      </c>
    </row>
    <row r="2712" spans="1:3" ht="15">
      <c r="A2712" s="90" t="s">
        <v>292</v>
      </c>
      <c r="B2712" s="89" t="s">
        <v>4034</v>
      </c>
      <c r="C2712" s="102" t="s">
        <v>1091</v>
      </c>
    </row>
    <row r="2713" spans="1:3" ht="15">
      <c r="A2713" s="90" t="s">
        <v>292</v>
      </c>
      <c r="B2713" s="89" t="s">
        <v>4035</v>
      </c>
      <c r="C2713" s="102" t="s">
        <v>1091</v>
      </c>
    </row>
    <row r="2714" spans="1:3" ht="15">
      <c r="A2714" s="90" t="s">
        <v>292</v>
      </c>
      <c r="B2714" s="89" t="s">
        <v>3141</v>
      </c>
      <c r="C2714" s="102" t="s">
        <v>1091</v>
      </c>
    </row>
    <row r="2715" spans="1:3" ht="15">
      <c r="A2715" s="90" t="s">
        <v>292</v>
      </c>
      <c r="B2715" s="89" t="s">
        <v>4036</v>
      </c>
      <c r="C2715" s="102" t="s">
        <v>1091</v>
      </c>
    </row>
    <row r="2716" spans="1:3" ht="15">
      <c r="A2716" s="90" t="s">
        <v>292</v>
      </c>
      <c r="B2716" s="89" t="s">
        <v>4037</v>
      </c>
      <c r="C2716" s="102" t="s">
        <v>1091</v>
      </c>
    </row>
    <row r="2717" spans="1:3" ht="15">
      <c r="A2717" s="90" t="s">
        <v>292</v>
      </c>
      <c r="B2717" s="89" t="s">
        <v>4038</v>
      </c>
      <c r="C2717" s="102" t="s">
        <v>1091</v>
      </c>
    </row>
    <row r="2718" spans="1:3" ht="15">
      <c r="A2718" s="90" t="s">
        <v>292</v>
      </c>
      <c r="B2718" s="89" t="s">
        <v>3148</v>
      </c>
      <c r="C2718" s="102" t="s">
        <v>1091</v>
      </c>
    </row>
    <row r="2719" spans="1:3" ht="15">
      <c r="A2719" s="90" t="s">
        <v>292</v>
      </c>
      <c r="B2719" s="89" t="s">
        <v>3204</v>
      </c>
      <c r="C2719" s="102" t="s">
        <v>1091</v>
      </c>
    </row>
    <row r="2720" spans="1:3" ht="15">
      <c r="A2720" s="90" t="s">
        <v>292</v>
      </c>
      <c r="B2720" s="89" t="s">
        <v>4039</v>
      </c>
      <c r="C2720" s="102" t="s">
        <v>1091</v>
      </c>
    </row>
    <row r="2721" spans="1:3" ht="15">
      <c r="A2721" s="90" t="s">
        <v>292</v>
      </c>
      <c r="B2721" s="89" t="s">
        <v>2682</v>
      </c>
      <c r="C2721" s="102" t="s">
        <v>1091</v>
      </c>
    </row>
    <row r="2722" spans="1:3" ht="15">
      <c r="A2722" s="90" t="s">
        <v>292</v>
      </c>
      <c r="B2722" s="89" t="s">
        <v>2717</v>
      </c>
      <c r="C2722" s="102" t="s">
        <v>1091</v>
      </c>
    </row>
    <row r="2723" spans="1:3" ht="15">
      <c r="A2723" s="90" t="s">
        <v>291</v>
      </c>
      <c r="B2723" s="89" t="s">
        <v>290</v>
      </c>
      <c r="C2723" s="102" t="s">
        <v>1063</v>
      </c>
    </row>
    <row r="2724" spans="1:3" ht="15">
      <c r="A2724" s="90" t="s">
        <v>291</v>
      </c>
      <c r="B2724" s="89" t="s">
        <v>3245</v>
      </c>
      <c r="C2724" s="102" t="s">
        <v>1063</v>
      </c>
    </row>
    <row r="2725" spans="1:3" ht="15">
      <c r="A2725" s="90" t="s">
        <v>291</v>
      </c>
      <c r="B2725" s="89" t="s">
        <v>3247</v>
      </c>
      <c r="C2725" s="102" t="s">
        <v>1063</v>
      </c>
    </row>
    <row r="2726" spans="1:3" ht="15">
      <c r="A2726" s="90" t="s">
        <v>291</v>
      </c>
      <c r="B2726" s="89" t="s">
        <v>4040</v>
      </c>
      <c r="C2726" s="102" t="s">
        <v>1063</v>
      </c>
    </row>
    <row r="2727" spans="1:3" ht="15">
      <c r="A2727" s="90" t="s">
        <v>291</v>
      </c>
      <c r="B2727" s="89" t="s">
        <v>4041</v>
      </c>
      <c r="C2727" s="102" t="s">
        <v>1063</v>
      </c>
    </row>
    <row r="2728" spans="1:3" ht="15">
      <c r="A2728" s="90" t="s">
        <v>291</v>
      </c>
      <c r="B2728" s="89" t="s">
        <v>4042</v>
      </c>
      <c r="C2728" s="102" t="s">
        <v>1063</v>
      </c>
    </row>
    <row r="2729" spans="1:3" ht="15">
      <c r="A2729" s="90" t="s">
        <v>291</v>
      </c>
      <c r="B2729" s="89" t="s">
        <v>4043</v>
      </c>
      <c r="C2729" s="102" t="s">
        <v>1063</v>
      </c>
    </row>
    <row r="2730" spans="1:3" ht="15">
      <c r="A2730" s="90" t="s">
        <v>291</v>
      </c>
      <c r="B2730" s="89" t="s">
        <v>3204</v>
      </c>
      <c r="C2730" s="102" t="s">
        <v>1063</v>
      </c>
    </row>
    <row r="2731" spans="1:3" ht="15">
      <c r="A2731" s="90" t="s">
        <v>291</v>
      </c>
      <c r="B2731" s="89" t="s">
        <v>4044</v>
      </c>
      <c r="C2731" s="102" t="s">
        <v>1063</v>
      </c>
    </row>
    <row r="2732" spans="1:3" ht="15">
      <c r="A2732" s="90" t="s">
        <v>338</v>
      </c>
      <c r="B2732" s="89" t="s">
        <v>3245</v>
      </c>
      <c r="C2732" s="102" t="s">
        <v>1140</v>
      </c>
    </row>
    <row r="2733" spans="1:3" ht="15">
      <c r="A2733" s="90" t="s">
        <v>338</v>
      </c>
      <c r="B2733" s="89" t="s">
        <v>3247</v>
      </c>
      <c r="C2733" s="102" t="s">
        <v>1140</v>
      </c>
    </row>
    <row r="2734" spans="1:3" ht="15">
      <c r="A2734" s="90" t="s">
        <v>338</v>
      </c>
      <c r="B2734" s="89" t="s">
        <v>3189</v>
      </c>
      <c r="C2734" s="102" t="s">
        <v>1140</v>
      </c>
    </row>
    <row r="2735" spans="1:3" ht="15">
      <c r="A2735" s="90" t="s">
        <v>338</v>
      </c>
      <c r="B2735" s="89" t="s">
        <v>4045</v>
      </c>
      <c r="C2735" s="102" t="s">
        <v>1140</v>
      </c>
    </row>
    <row r="2736" spans="1:3" ht="15">
      <c r="A2736" s="90" t="s">
        <v>338</v>
      </c>
      <c r="B2736" s="89" t="s">
        <v>4046</v>
      </c>
      <c r="C2736" s="102" t="s">
        <v>1140</v>
      </c>
    </row>
    <row r="2737" spans="1:3" ht="15">
      <c r="A2737" s="90" t="s">
        <v>338</v>
      </c>
      <c r="B2737" s="89" t="s">
        <v>4047</v>
      </c>
      <c r="C2737" s="102" t="s">
        <v>1140</v>
      </c>
    </row>
    <row r="2738" spans="1:3" ht="15">
      <c r="A2738" s="90" t="s">
        <v>338</v>
      </c>
      <c r="B2738" s="89" t="s">
        <v>4048</v>
      </c>
      <c r="C2738" s="102" t="s">
        <v>1140</v>
      </c>
    </row>
    <row r="2739" spans="1:3" ht="15">
      <c r="A2739" s="90" t="s">
        <v>338</v>
      </c>
      <c r="B2739" s="89" t="s">
        <v>3141</v>
      </c>
      <c r="C2739" s="102" t="s">
        <v>1140</v>
      </c>
    </row>
    <row r="2740" spans="1:3" ht="15">
      <c r="A2740" s="90" t="s">
        <v>338</v>
      </c>
      <c r="B2740" s="89" t="s">
        <v>2707</v>
      </c>
      <c r="C2740" s="102" t="s">
        <v>1140</v>
      </c>
    </row>
    <row r="2741" spans="1:3" ht="15">
      <c r="A2741" s="90" t="s">
        <v>338</v>
      </c>
      <c r="B2741" s="89" t="s">
        <v>2710</v>
      </c>
      <c r="C2741" s="102" t="s">
        <v>1140</v>
      </c>
    </row>
    <row r="2742" spans="1:3" ht="15">
      <c r="A2742" s="90" t="s">
        <v>338</v>
      </c>
      <c r="B2742" s="89" t="s">
        <v>4049</v>
      </c>
      <c r="C2742" s="102" t="s">
        <v>1140</v>
      </c>
    </row>
    <row r="2743" spans="1:3" ht="15">
      <c r="A2743" s="90" t="s">
        <v>338</v>
      </c>
      <c r="B2743" s="89" t="s">
        <v>2988</v>
      </c>
      <c r="C2743" s="102" t="s">
        <v>1140</v>
      </c>
    </row>
    <row r="2744" spans="1:3" ht="15">
      <c r="A2744" s="90" t="s">
        <v>338</v>
      </c>
      <c r="B2744" s="89" t="s">
        <v>2681</v>
      </c>
      <c r="C2744" s="102" t="s">
        <v>1140</v>
      </c>
    </row>
    <row r="2745" spans="1:3" ht="15">
      <c r="A2745" s="90" t="s">
        <v>338</v>
      </c>
      <c r="B2745" s="89" t="s">
        <v>3683</v>
      </c>
      <c r="C2745" s="102" t="s">
        <v>1140</v>
      </c>
    </row>
    <row r="2746" spans="1:3" ht="15">
      <c r="A2746" s="90" t="s">
        <v>338</v>
      </c>
      <c r="B2746" s="89" t="s">
        <v>4050</v>
      </c>
      <c r="C2746" s="102" t="s">
        <v>1140</v>
      </c>
    </row>
    <row r="2747" spans="1:3" ht="15">
      <c r="A2747" s="90" t="s">
        <v>338</v>
      </c>
      <c r="B2747" s="89" t="s">
        <v>2767</v>
      </c>
      <c r="C2747" s="102" t="s">
        <v>1140</v>
      </c>
    </row>
    <row r="2748" spans="1:3" ht="15">
      <c r="A2748" s="90" t="s">
        <v>338</v>
      </c>
      <c r="B2748" s="89" t="s">
        <v>3031</v>
      </c>
      <c r="C2748" s="102" t="s">
        <v>1140</v>
      </c>
    </row>
    <row r="2749" spans="1:3" ht="15">
      <c r="A2749" s="90" t="s">
        <v>338</v>
      </c>
      <c r="B2749" s="89" t="s">
        <v>3032</v>
      </c>
      <c r="C2749" s="102" t="s">
        <v>1140</v>
      </c>
    </row>
    <row r="2750" spans="1:3" ht="15">
      <c r="A2750" s="90" t="s">
        <v>338</v>
      </c>
      <c r="B2750" s="89" t="s">
        <v>4051</v>
      </c>
      <c r="C2750" s="102" t="s">
        <v>1140</v>
      </c>
    </row>
    <row r="2751" spans="1:3" ht="15">
      <c r="A2751" s="90" t="s">
        <v>338</v>
      </c>
      <c r="B2751" s="89" t="s">
        <v>2684</v>
      </c>
      <c r="C2751" s="102" t="s">
        <v>1140</v>
      </c>
    </row>
    <row r="2752" spans="1:3" ht="15">
      <c r="A2752" s="90" t="s">
        <v>338</v>
      </c>
      <c r="B2752" s="89" t="s">
        <v>4052</v>
      </c>
      <c r="C2752" s="102" t="s">
        <v>1140</v>
      </c>
    </row>
    <row r="2753" spans="1:3" ht="15">
      <c r="A2753" s="90" t="s">
        <v>338</v>
      </c>
      <c r="B2753" s="89" t="s">
        <v>712</v>
      </c>
      <c r="C2753" s="102" t="s">
        <v>1140</v>
      </c>
    </row>
    <row r="2754" spans="1:3" ht="15">
      <c r="A2754" s="90" t="s">
        <v>290</v>
      </c>
      <c r="B2754" s="89" t="s">
        <v>3245</v>
      </c>
      <c r="C2754" s="102" t="s">
        <v>1062</v>
      </c>
    </row>
    <row r="2755" spans="1:3" ht="15">
      <c r="A2755" s="90" t="s">
        <v>290</v>
      </c>
      <c r="B2755" s="89" t="s">
        <v>3247</v>
      </c>
      <c r="C2755" s="102" t="s">
        <v>1062</v>
      </c>
    </row>
    <row r="2756" spans="1:3" ht="15">
      <c r="A2756" s="90" t="s">
        <v>290</v>
      </c>
      <c r="B2756" s="89" t="s">
        <v>4053</v>
      </c>
      <c r="C2756" s="102" t="s">
        <v>1062</v>
      </c>
    </row>
    <row r="2757" spans="1:3" ht="15">
      <c r="A2757" s="90" t="s">
        <v>290</v>
      </c>
      <c r="B2757" s="89" t="s">
        <v>3334</v>
      </c>
      <c r="C2757" s="102" t="s">
        <v>1062</v>
      </c>
    </row>
    <row r="2758" spans="1:3" ht="15">
      <c r="A2758" s="90" t="s">
        <v>290</v>
      </c>
      <c r="B2758" s="89" t="s">
        <v>4054</v>
      </c>
      <c r="C2758" s="102" t="s">
        <v>1062</v>
      </c>
    </row>
    <row r="2759" spans="1:3" ht="15">
      <c r="A2759" s="90" t="s">
        <v>290</v>
      </c>
      <c r="B2759" s="89">
        <v>61</v>
      </c>
      <c r="C2759" s="102" t="s">
        <v>1062</v>
      </c>
    </row>
    <row r="2760" spans="1:3" ht="15">
      <c r="A2760" s="90" t="s">
        <v>290</v>
      </c>
      <c r="B2760" s="89" t="s">
        <v>2838</v>
      </c>
      <c r="C2760" s="102" t="s">
        <v>1062</v>
      </c>
    </row>
    <row r="2761" spans="1:3" ht="15">
      <c r="A2761" s="90" t="s">
        <v>290</v>
      </c>
      <c r="B2761" s="89" t="s">
        <v>3953</v>
      </c>
      <c r="C2761" s="102" t="s">
        <v>1062</v>
      </c>
    </row>
    <row r="2762" spans="1:3" ht="15">
      <c r="A2762" s="90" t="s">
        <v>290</v>
      </c>
      <c r="B2762" s="89" t="s">
        <v>4055</v>
      </c>
      <c r="C2762" s="102" t="s">
        <v>1062</v>
      </c>
    </row>
    <row r="2763" spans="1:3" ht="15">
      <c r="A2763" s="90" t="s">
        <v>290</v>
      </c>
      <c r="B2763" s="89">
        <v>23</v>
      </c>
      <c r="C2763" s="102" t="s">
        <v>1062</v>
      </c>
    </row>
    <row r="2764" spans="1:3" ht="15">
      <c r="A2764" s="90" t="s">
        <v>290</v>
      </c>
      <c r="B2764" s="89">
        <v>0</v>
      </c>
      <c r="C2764" s="102" t="s">
        <v>1062</v>
      </c>
    </row>
    <row r="2765" spans="1:3" ht="15">
      <c r="A2765" s="90" t="s">
        <v>290</v>
      </c>
      <c r="B2765" s="89" t="s">
        <v>4056</v>
      </c>
      <c r="C2765" s="102" t="s">
        <v>1062</v>
      </c>
    </row>
    <row r="2766" spans="1:3" ht="15">
      <c r="A2766" s="90" t="s">
        <v>290</v>
      </c>
      <c r="B2766" s="89" t="s">
        <v>3137</v>
      </c>
      <c r="C2766" s="102" t="s">
        <v>1062</v>
      </c>
    </row>
    <row r="2767" spans="1:3" ht="15">
      <c r="A2767" s="90" t="s">
        <v>290</v>
      </c>
      <c r="B2767" s="89" t="s">
        <v>3692</v>
      </c>
      <c r="C2767" s="102" t="s">
        <v>1062</v>
      </c>
    </row>
    <row r="2768" spans="1:3" ht="15">
      <c r="A2768" s="90" t="s">
        <v>290</v>
      </c>
      <c r="B2768" s="89" t="s">
        <v>4057</v>
      </c>
      <c r="C2768" s="102" t="s">
        <v>1062</v>
      </c>
    </row>
    <row r="2769" spans="1:3" ht="15">
      <c r="A2769" s="90" t="s">
        <v>290</v>
      </c>
      <c r="B2769" s="89" t="s">
        <v>3145</v>
      </c>
      <c r="C2769" s="102" t="s">
        <v>1062</v>
      </c>
    </row>
    <row r="2770" spans="1:3" ht="15">
      <c r="A2770" s="90" t="s">
        <v>290</v>
      </c>
      <c r="B2770" s="89">
        <v>96</v>
      </c>
      <c r="C2770" s="102" t="s">
        <v>1062</v>
      </c>
    </row>
    <row r="2771" spans="1:3" ht="15">
      <c r="A2771" s="90" t="s">
        <v>290</v>
      </c>
      <c r="B2771" s="89" t="s">
        <v>3033</v>
      </c>
      <c r="C2771" s="102" t="s">
        <v>1062</v>
      </c>
    </row>
    <row r="2772" spans="1:3" ht="15">
      <c r="A2772" s="90" t="s">
        <v>290</v>
      </c>
      <c r="B2772" s="89" t="s">
        <v>4058</v>
      </c>
      <c r="C2772" s="102" t="s">
        <v>1062</v>
      </c>
    </row>
    <row r="2773" spans="1:3" ht="15">
      <c r="A2773" s="90" t="s">
        <v>290</v>
      </c>
      <c r="B2773" s="89" t="s">
        <v>4059</v>
      </c>
      <c r="C2773" s="102" t="s">
        <v>1062</v>
      </c>
    </row>
    <row r="2774" spans="1:3" ht="15">
      <c r="A2774" s="90" t="s">
        <v>290</v>
      </c>
      <c r="B2774" s="89" t="s">
        <v>4060</v>
      </c>
      <c r="C2774" s="102" t="s">
        <v>1062</v>
      </c>
    </row>
    <row r="2775" spans="1:3" ht="15">
      <c r="A2775" s="90" t="s">
        <v>290</v>
      </c>
      <c r="B2775" s="89" t="s">
        <v>4061</v>
      </c>
      <c r="C2775" s="102" t="s">
        <v>1062</v>
      </c>
    </row>
    <row r="2776" spans="1:3" ht="15">
      <c r="A2776" s="90" t="s">
        <v>290</v>
      </c>
      <c r="B2776" s="89" t="s">
        <v>3204</v>
      </c>
      <c r="C2776" s="102" t="s">
        <v>1062</v>
      </c>
    </row>
    <row r="2777" spans="1:3" ht="15">
      <c r="A2777" s="90" t="s">
        <v>290</v>
      </c>
      <c r="B2777" s="89" t="s">
        <v>3141</v>
      </c>
      <c r="C2777" s="102" t="s">
        <v>1062</v>
      </c>
    </row>
    <row r="2778" spans="1:3" ht="15">
      <c r="A2778" s="90" t="s">
        <v>290</v>
      </c>
      <c r="B2778" s="89" t="s">
        <v>2766</v>
      </c>
      <c r="C2778" s="102" t="s">
        <v>1062</v>
      </c>
    </row>
    <row r="2779" spans="1:3" ht="15">
      <c r="A2779" s="90" t="s">
        <v>290</v>
      </c>
      <c r="B2779" s="89" t="s">
        <v>4062</v>
      </c>
      <c r="C2779" s="102" t="s">
        <v>1062</v>
      </c>
    </row>
    <row r="2780" spans="1:3" ht="15">
      <c r="A2780" s="90" t="s">
        <v>290</v>
      </c>
      <c r="B2780" s="89" t="s">
        <v>3211</v>
      </c>
      <c r="C2780" s="102" t="s">
        <v>1062</v>
      </c>
    </row>
    <row r="2781" spans="1:3" ht="15">
      <c r="A2781" s="90" t="s">
        <v>290</v>
      </c>
      <c r="B2781" s="89" t="s">
        <v>2709</v>
      </c>
      <c r="C2781" s="102" t="s">
        <v>1062</v>
      </c>
    </row>
    <row r="2782" spans="1:3" ht="15">
      <c r="A2782" s="90" t="s">
        <v>288</v>
      </c>
      <c r="B2782" s="89" t="s">
        <v>4063</v>
      </c>
      <c r="C2782" s="102" t="s">
        <v>1053</v>
      </c>
    </row>
    <row r="2783" spans="1:3" ht="15">
      <c r="A2783" s="90" t="s">
        <v>288</v>
      </c>
      <c r="B2783" s="89" t="s">
        <v>4064</v>
      </c>
      <c r="C2783" s="102" t="s">
        <v>1053</v>
      </c>
    </row>
    <row r="2784" spans="1:3" ht="15">
      <c r="A2784" s="90" t="s">
        <v>288</v>
      </c>
      <c r="B2784" s="89" t="s">
        <v>4065</v>
      </c>
      <c r="C2784" s="102" t="s">
        <v>1053</v>
      </c>
    </row>
    <row r="2785" spans="1:3" ht="15">
      <c r="A2785" s="90" t="s">
        <v>288</v>
      </c>
      <c r="B2785" s="89" t="s">
        <v>446</v>
      </c>
      <c r="C2785" s="102" t="s">
        <v>1053</v>
      </c>
    </row>
    <row r="2786" spans="1:3" ht="15">
      <c r="A2786" s="90" t="s">
        <v>288</v>
      </c>
      <c r="B2786" s="89" t="s">
        <v>4066</v>
      </c>
      <c r="C2786" s="102" t="s">
        <v>1053</v>
      </c>
    </row>
    <row r="2787" spans="1:3" ht="15">
      <c r="A2787" s="90" t="s">
        <v>288</v>
      </c>
      <c r="B2787" s="89" t="s">
        <v>4067</v>
      </c>
      <c r="C2787" s="102" t="s">
        <v>1053</v>
      </c>
    </row>
    <row r="2788" spans="1:3" ht="15">
      <c r="A2788" s="90" t="s">
        <v>288</v>
      </c>
      <c r="B2788" s="89" t="s">
        <v>3821</v>
      </c>
      <c r="C2788" s="102" t="s">
        <v>1053</v>
      </c>
    </row>
    <row r="2789" spans="1:3" ht="15">
      <c r="A2789" s="90" t="s">
        <v>288</v>
      </c>
      <c r="B2789" s="89" t="s">
        <v>4068</v>
      </c>
      <c r="C2789" s="102" t="s">
        <v>1053</v>
      </c>
    </row>
    <row r="2790" spans="1:3" ht="15">
      <c r="A2790" s="90" t="s">
        <v>288</v>
      </c>
      <c r="B2790" s="89" t="s">
        <v>4069</v>
      </c>
      <c r="C2790" s="102" t="s">
        <v>1053</v>
      </c>
    </row>
    <row r="2791" spans="1:3" ht="15">
      <c r="A2791" s="90" t="s">
        <v>288</v>
      </c>
      <c r="B2791" s="89" t="s">
        <v>4070</v>
      </c>
      <c r="C2791" s="102" t="s">
        <v>1053</v>
      </c>
    </row>
    <row r="2792" spans="1:3" ht="15">
      <c r="A2792" s="90" t="s">
        <v>288</v>
      </c>
      <c r="B2792" s="89" t="s">
        <v>440</v>
      </c>
      <c r="C2792" s="102" t="s">
        <v>1053</v>
      </c>
    </row>
    <row r="2793" spans="1:3" ht="15">
      <c r="A2793" s="90" t="s">
        <v>288</v>
      </c>
      <c r="B2793" s="89" t="s">
        <v>439</v>
      </c>
      <c r="C2793" s="102" t="s">
        <v>1053</v>
      </c>
    </row>
    <row r="2794" spans="1:3" ht="15">
      <c r="A2794" s="90" t="s">
        <v>288</v>
      </c>
      <c r="B2794" s="89" t="s">
        <v>4071</v>
      </c>
      <c r="C2794" s="102" t="s">
        <v>1053</v>
      </c>
    </row>
    <row r="2795" spans="1:3" ht="15">
      <c r="A2795" s="90" t="s">
        <v>288</v>
      </c>
      <c r="B2795" s="89" t="s">
        <v>4072</v>
      </c>
      <c r="C2795" s="102" t="s">
        <v>1053</v>
      </c>
    </row>
    <row r="2796" spans="1:3" ht="15">
      <c r="A2796" s="90" t="s">
        <v>288</v>
      </c>
      <c r="B2796" s="89" t="s">
        <v>3957</v>
      </c>
      <c r="C2796" s="102" t="s">
        <v>1053</v>
      </c>
    </row>
    <row r="2797" spans="1:3" ht="15">
      <c r="A2797" s="90" t="s">
        <v>288</v>
      </c>
      <c r="B2797" s="89" t="s">
        <v>2761</v>
      </c>
      <c r="C2797" s="102" t="s">
        <v>1053</v>
      </c>
    </row>
    <row r="2798" spans="1:3" ht="15">
      <c r="A2798" s="90" t="s">
        <v>288</v>
      </c>
      <c r="B2798" s="89" t="s">
        <v>3697</v>
      </c>
      <c r="C2798" s="102" t="s">
        <v>1053</v>
      </c>
    </row>
    <row r="2799" spans="1:3" ht="15">
      <c r="A2799" s="90" t="s">
        <v>288</v>
      </c>
      <c r="B2799" s="89" t="s">
        <v>4073</v>
      </c>
      <c r="C2799" s="102" t="s">
        <v>1053</v>
      </c>
    </row>
    <row r="2800" spans="1:3" ht="15">
      <c r="A2800" s="90" t="s">
        <v>288</v>
      </c>
      <c r="B2800" s="89" t="s">
        <v>4074</v>
      </c>
      <c r="C2800" s="102" t="s">
        <v>1053</v>
      </c>
    </row>
    <row r="2801" spans="1:3" ht="15">
      <c r="A2801" s="90" t="s">
        <v>288</v>
      </c>
      <c r="B2801" s="89" t="s">
        <v>2726</v>
      </c>
      <c r="C2801" s="102" t="s">
        <v>1053</v>
      </c>
    </row>
    <row r="2802" spans="1:3" ht="15">
      <c r="A2802" s="90" t="s">
        <v>288</v>
      </c>
      <c r="B2802" s="89" t="s">
        <v>2705</v>
      </c>
      <c r="C2802" s="102" t="s">
        <v>1053</v>
      </c>
    </row>
    <row r="2803" spans="1:3" ht="15">
      <c r="A2803" s="90" t="s">
        <v>288</v>
      </c>
      <c r="B2803" s="89" t="s">
        <v>2661</v>
      </c>
      <c r="C2803" s="102" t="s">
        <v>1053</v>
      </c>
    </row>
    <row r="2804" spans="1:3" ht="15">
      <c r="A2804" s="90" t="s">
        <v>288</v>
      </c>
      <c r="B2804" s="89" t="s">
        <v>3618</v>
      </c>
      <c r="C2804" s="102" t="s">
        <v>1053</v>
      </c>
    </row>
    <row r="2805" spans="1:3" ht="15">
      <c r="A2805" s="90" t="s">
        <v>288</v>
      </c>
      <c r="B2805" s="89" t="s">
        <v>3137</v>
      </c>
      <c r="C2805" s="102" t="s">
        <v>1053</v>
      </c>
    </row>
    <row r="2806" spans="1:3" ht="15">
      <c r="A2806" s="90" t="s">
        <v>288</v>
      </c>
      <c r="B2806" s="89" t="s">
        <v>3333</v>
      </c>
      <c r="C2806" s="102" t="s">
        <v>1053</v>
      </c>
    </row>
    <row r="2807" spans="1:3" ht="15">
      <c r="A2807" s="90" t="s">
        <v>288</v>
      </c>
      <c r="B2807" s="89" t="s">
        <v>2727</v>
      </c>
      <c r="C2807" s="102" t="s">
        <v>1053</v>
      </c>
    </row>
    <row r="2808" spans="1:3" ht="15">
      <c r="A2808" s="90" t="s">
        <v>288</v>
      </c>
      <c r="B2808" s="89" t="s">
        <v>2728</v>
      </c>
      <c r="C2808" s="102" t="s">
        <v>1053</v>
      </c>
    </row>
    <row r="2809" spans="1:3" ht="15">
      <c r="A2809" s="90" t="s">
        <v>288</v>
      </c>
      <c r="B2809" s="89" t="s">
        <v>3158</v>
      </c>
      <c r="C2809" s="102" t="s">
        <v>1053</v>
      </c>
    </row>
    <row r="2810" spans="1:3" ht="15">
      <c r="A2810" s="90" t="s">
        <v>288</v>
      </c>
      <c r="B2810" s="89" t="s">
        <v>2663</v>
      </c>
      <c r="C2810" s="102" t="s">
        <v>1053</v>
      </c>
    </row>
    <row r="2811" spans="1:3" ht="15">
      <c r="A2811" s="90" t="s">
        <v>288</v>
      </c>
      <c r="B2811" s="89" t="s">
        <v>3502</v>
      </c>
      <c r="C2811" s="102" t="s">
        <v>1053</v>
      </c>
    </row>
    <row r="2812" spans="1:3" ht="15">
      <c r="A2812" s="90" t="s">
        <v>288</v>
      </c>
      <c r="B2812" s="89" t="s">
        <v>712</v>
      </c>
      <c r="C2812" s="102" t="s">
        <v>1053</v>
      </c>
    </row>
    <row r="2813" spans="1:3" ht="15">
      <c r="A2813" s="90" t="s">
        <v>288</v>
      </c>
      <c r="B2813" s="89" t="s">
        <v>4063</v>
      </c>
      <c r="C2813" s="102" t="s">
        <v>1052</v>
      </c>
    </row>
    <row r="2814" spans="1:3" ht="15">
      <c r="A2814" s="90" t="s">
        <v>288</v>
      </c>
      <c r="B2814" s="89" t="s">
        <v>4064</v>
      </c>
      <c r="C2814" s="102" t="s">
        <v>1052</v>
      </c>
    </row>
    <row r="2815" spans="1:3" ht="15">
      <c r="A2815" s="90" t="s">
        <v>288</v>
      </c>
      <c r="B2815" s="89" t="s">
        <v>4065</v>
      </c>
      <c r="C2815" s="102" t="s">
        <v>1052</v>
      </c>
    </row>
    <row r="2816" spans="1:3" ht="15">
      <c r="A2816" s="90" t="s">
        <v>288</v>
      </c>
      <c r="B2816" s="89" t="s">
        <v>446</v>
      </c>
      <c r="C2816" s="102" t="s">
        <v>1052</v>
      </c>
    </row>
    <row r="2817" spans="1:3" ht="15">
      <c r="A2817" s="90" t="s">
        <v>288</v>
      </c>
      <c r="B2817" s="89" t="s">
        <v>4066</v>
      </c>
      <c r="C2817" s="102" t="s">
        <v>1052</v>
      </c>
    </row>
    <row r="2818" spans="1:3" ht="15">
      <c r="A2818" s="90" t="s">
        <v>288</v>
      </c>
      <c r="B2818" s="89" t="s">
        <v>4067</v>
      </c>
      <c r="C2818" s="102" t="s">
        <v>1052</v>
      </c>
    </row>
    <row r="2819" spans="1:3" ht="15">
      <c r="A2819" s="90" t="s">
        <v>288</v>
      </c>
      <c r="B2819" s="89" t="s">
        <v>3821</v>
      </c>
      <c r="C2819" s="102" t="s">
        <v>1052</v>
      </c>
    </row>
    <row r="2820" spans="1:3" ht="15">
      <c r="A2820" s="90" t="s">
        <v>288</v>
      </c>
      <c r="B2820" s="89" t="s">
        <v>4068</v>
      </c>
      <c r="C2820" s="102" t="s">
        <v>1052</v>
      </c>
    </row>
    <row r="2821" spans="1:3" ht="15">
      <c r="A2821" s="90" t="s">
        <v>288</v>
      </c>
      <c r="B2821" s="89" t="s">
        <v>4069</v>
      </c>
      <c r="C2821" s="102" t="s">
        <v>1052</v>
      </c>
    </row>
    <row r="2822" spans="1:3" ht="15">
      <c r="A2822" s="90" t="s">
        <v>288</v>
      </c>
      <c r="B2822" s="89" t="s">
        <v>4070</v>
      </c>
      <c r="C2822" s="102" t="s">
        <v>1052</v>
      </c>
    </row>
    <row r="2823" spans="1:3" ht="15">
      <c r="A2823" s="90" t="s">
        <v>288</v>
      </c>
      <c r="B2823" s="89" t="s">
        <v>440</v>
      </c>
      <c r="C2823" s="102" t="s">
        <v>1052</v>
      </c>
    </row>
    <row r="2824" spans="1:3" ht="15">
      <c r="A2824" s="90" t="s">
        <v>288</v>
      </c>
      <c r="B2824" s="89" t="s">
        <v>439</v>
      </c>
      <c r="C2824" s="102" t="s">
        <v>1052</v>
      </c>
    </row>
    <row r="2825" spans="1:3" ht="15">
      <c r="A2825" s="90" t="s">
        <v>288</v>
      </c>
      <c r="B2825" s="89" t="s">
        <v>4071</v>
      </c>
      <c r="C2825" s="102" t="s">
        <v>1052</v>
      </c>
    </row>
    <row r="2826" spans="1:3" ht="15">
      <c r="A2826" s="90" t="s">
        <v>288</v>
      </c>
      <c r="B2826" s="89" t="s">
        <v>4072</v>
      </c>
      <c r="C2826" s="102" t="s">
        <v>1052</v>
      </c>
    </row>
    <row r="2827" spans="1:3" ht="15">
      <c r="A2827" s="90" t="s">
        <v>288</v>
      </c>
      <c r="B2827" s="89" t="s">
        <v>3957</v>
      </c>
      <c r="C2827" s="102" t="s">
        <v>1052</v>
      </c>
    </row>
    <row r="2828" spans="1:3" ht="15">
      <c r="A2828" s="90" t="s">
        <v>288</v>
      </c>
      <c r="B2828" s="89" t="s">
        <v>2761</v>
      </c>
      <c r="C2828" s="102" t="s">
        <v>1052</v>
      </c>
    </row>
    <row r="2829" spans="1:3" ht="15">
      <c r="A2829" s="90" t="s">
        <v>288</v>
      </c>
      <c r="B2829" s="89" t="s">
        <v>3697</v>
      </c>
      <c r="C2829" s="102" t="s">
        <v>1052</v>
      </c>
    </row>
    <row r="2830" spans="1:3" ht="15">
      <c r="A2830" s="90" t="s">
        <v>288</v>
      </c>
      <c r="B2830" s="89" t="s">
        <v>4073</v>
      </c>
      <c r="C2830" s="102" t="s">
        <v>1052</v>
      </c>
    </row>
    <row r="2831" spans="1:3" ht="15">
      <c r="A2831" s="90" t="s">
        <v>288</v>
      </c>
      <c r="B2831" s="89" t="s">
        <v>4074</v>
      </c>
      <c r="C2831" s="102" t="s">
        <v>1052</v>
      </c>
    </row>
    <row r="2832" spans="1:3" ht="15">
      <c r="A2832" s="90" t="s">
        <v>288</v>
      </c>
      <c r="B2832" s="89" t="s">
        <v>2726</v>
      </c>
      <c r="C2832" s="102" t="s">
        <v>1052</v>
      </c>
    </row>
    <row r="2833" spans="1:3" ht="15">
      <c r="A2833" s="90" t="s">
        <v>288</v>
      </c>
      <c r="B2833" s="89" t="s">
        <v>2705</v>
      </c>
      <c r="C2833" s="102" t="s">
        <v>1052</v>
      </c>
    </row>
    <row r="2834" spans="1:3" ht="15">
      <c r="A2834" s="90" t="s">
        <v>288</v>
      </c>
      <c r="B2834" s="89" t="s">
        <v>2661</v>
      </c>
      <c r="C2834" s="102" t="s">
        <v>1052</v>
      </c>
    </row>
    <row r="2835" spans="1:3" ht="15">
      <c r="A2835" s="90" t="s">
        <v>288</v>
      </c>
      <c r="B2835" s="89" t="s">
        <v>3618</v>
      </c>
      <c r="C2835" s="102" t="s">
        <v>1052</v>
      </c>
    </row>
    <row r="2836" spans="1:3" ht="15">
      <c r="A2836" s="90" t="s">
        <v>288</v>
      </c>
      <c r="B2836" s="89" t="s">
        <v>3137</v>
      </c>
      <c r="C2836" s="102" t="s">
        <v>1052</v>
      </c>
    </row>
    <row r="2837" spans="1:3" ht="15">
      <c r="A2837" s="90" t="s">
        <v>288</v>
      </c>
      <c r="B2837" s="89" t="s">
        <v>3333</v>
      </c>
      <c r="C2837" s="102" t="s">
        <v>1052</v>
      </c>
    </row>
    <row r="2838" spans="1:3" ht="15">
      <c r="A2838" s="90" t="s">
        <v>288</v>
      </c>
      <c r="B2838" s="89" t="s">
        <v>2727</v>
      </c>
      <c r="C2838" s="102" t="s">
        <v>1052</v>
      </c>
    </row>
    <row r="2839" spans="1:3" ht="15">
      <c r="A2839" s="90" t="s">
        <v>288</v>
      </c>
      <c r="B2839" s="89" t="s">
        <v>2728</v>
      </c>
      <c r="C2839" s="102" t="s">
        <v>1052</v>
      </c>
    </row>
    <row r="2840" spans="1:3" ht="15">
      <c r="A2840" s="90" t="s">
        <v>288</v>
      </c>
      <c r="B2840" s="89" t="s">
        <v>3158</v>
      </c>
      <c r="C2840" s="102" t="s">
        <v>1052</v>
      </c>
    </row>
    <row r="2841" spans="1:3" ht="15">
      <c r="A2841" s="90" t="s">
        <v>288</v>
      </c>
      <c r="B2841" s="89" t="s">
        <v>2663</v>
      </c>
      <c r="C2841" s="102" t="s">
        <v>1052</v>
      </c>
    </row>
    <row r="2842" spans="1:3" ht="15">
      <c r="A2842" s="90" t="s">
        <v>288</v>
      </c>
      <c r="B2842" s="89" t="s">
        <v>3502</v>
      </c>
      <c r="C2842" s="102" t="s">
        <v>1052</v>
      </c>
    </row>
    <row r="2843" spans="1:3" ht="15">
      <c r="A2843" s="90" t="s">
        <v>288</v>
      </c>
      <c r="B2843" s="89" t="s">
        <v>712</v>
      </c>
      <c r="C2843" s="102" t="s">
        <v>1052</v>
      </c>
    </row>
    <row r="2844" spans="1:3" ht="15">
      <c r="A2844" s="90" t="s">
        <v>288</v>
      </c>
      <c r="B2844" s="89" t="s">
        <v>4075</v>
      </c>
      <c r="C2844" s="102" t="s">
        <v>1059</v>
      </c>
    </row>
    <row r="2845" spans="1:3" ht="15">
      <c r="A2845" s="90" t="s">
        <v>288</v>
      </c>
      <c r="B2845" s="89" t="s">
        <v>4076</v>
      </c>
      <c r="C2845" s="102" t="s">
        <v>1059</v>
      </c>
    </row>
    <row r="2846" spans="1:3" ht="15">
      <c r="A2846" s="90" t="s">
        <v>288</v>
      </c>
      <c r="B2846" s="89" t="s">
        <v>4077</v>
      </c>
      <c r="C2846" s="102" t="s">
        <v>1059</v>
      </c>
    </row>
    <row r="2847" spans="1:3" ht="15">
      <c r="A2847" s="90" t="s">
        <v>288</v>
      </c>
      <c r="B2847" s="89" t="s">
        <v>4078</v>
      </c>
      <c r="C2847" s="102" t="s">
        <v>1059</v>
      </c>
    </row>
    <row r="2848" spans="1:3" ht="15">
      <c r="A2848" s="90" t="s">
        <v>288</v>
      </c>
      <c r="B2848" s="89" t="s">
        <v>3034</v>
      </c>
      <c r="C2848" s="102" t="s">
        <v>1059</v>
      </c>
    </row>
    <row r="2849" spans="1:3" ht="15">
      <c r="A2849" s="90" t="s">
        <v>288</v>
      </c>
      <c r="B2849" s="89" t="s">
        <v>3325</v>
      </c>
      <c r="C2849" s="102" t="s">
        <v>1059</v>
      </c>
    </row>
    <row r="2850" spans="1:3" ht="15">
      <c r="A2850" s="90" t="s">
        <v>288</v>
      </c>
      <c r="B2850" s="89" t="s">
        <v>4079</v>
      </c>
      <c r="C2850" s="102" t="s">
        <v>1059</v>
      </c>
    </row>
    <row r="2851" spans="1:3" ht="15">
      <c r="A2851" s="90" t="s">
        <v>288</v>
      </c>
      <c r="B2851" s="89" t="s">
        <v>4080</v>
      </c>
      <c r="C2851" s="102" t="s">
        <v>1059</v>
      </c>
    </row>
    <row r="2852" spans="1:3" ht="15">
      <c r="A2852" s="90" t="s">
        <v>288</v>
      </c>
      <c r="B2852" s="89" t="s">
        <v>3172</v>
      </c>
      <c r="C2852" s="102" t="s">
        <v>1059</v>
      </c>
    </row>
    <row r="2853" spans="1:3" ht="15">
      <c r="A2853" s="90" t="s">
        <v>288</v>
      </c>
      <c r="B2853" s="89" t="s">
        <v>712</v>
      </c>
      <c r="C2853" s="102" t="s">
        <v>1059</v>
      </c>
    </row>
    <row r="2854" spans="1:3" ht="15">
      <c r="A2854" s="90" t="s">
        <v>288</v>
      </c>
      <c r="B2854" s="89" t="s">
        <v>3137</v>
      </c>
      <c r="C2854" s="102" t="s">
        <v>1059</v>
      </c>
    </row>
    <row r="2855" spans="1:3" ht="15">
      <c r="A2855" s="90" t="s">
        <v>288</v>
      </c>
      <c r="B2855" s="89" t="s">
        <v>4081</v>
      </c>
      <c r="C2855" s="102" t="s">
        <v>1059</v>
      </c>
    </row>
    <row r="2856" spans="1:3" ht="15">
      <c r="A2856" s="90" t="s">
        <v>288</v>
      </c>
      <c r="B2856" s="89" t="s">
        <v>2661</v>
      </c>
      <c r="C2856" s="102" t="s">
        <v>1059</v>
      </c>
    </row>
    <row r="2857" spans="1:3" ht="15">
      <c r="A2857" s="90" t="s">
        <v>288</v>
      </c>
      <c r="B2857" s="89" t="s">
        <v>455</v>
      </c>
      <c r="C2857" s="102" t="s">
        <v>1058</v>
      </c>
    </row>
    <row r="2858" spans="1:3" ht="15">
      <c r="A2858" s="90" t="s">
        <v>288</v>
      </c>
      <c r="B2858" s="89" t="s">
        <v>3697</v>
      </c>
      <c r="C2858" s="102" t="s">
        <v>1058</v>
      </c>
    </row>
    <row r="2859" spans="1:3" ht="15">
      <c r="A2859" s="90" t="s">
        <v>288</v>
      </c>
      <c r="B2859" s="89" t="s">
        <v>2661</v>
      </c>
      <c r="C2859" s="102" t="s">
        <v>1058</v>
      </c>
    </row>
    <row r="2860" spans="1:3" ht="15">
      <c r="A2860" s="90" t="s">
        <v>288</v>
      </c>
      <c r="B2860" s="89" t="s">
        <v>4073</v>
      </c>
      <c r="C2860" s="102" t="s">
        <v>1058</v>
      </c>
    </row>
    <row r="2861" spans="1:3" ht="15">
      <c r="A2861" s="90" t="s">
        <v>288</v>
      </c>
      <c r="B2861" s="89" t="s">
        <v>4074</v>
      </c>
      <c r="C2861" s="102" t="s">
        <v>1058</v>
      </c>
    </row>
    <row r="2862" spans="1:3" ht="15">
      <c r="A2862" s="90" t="s">
        <v>288</v>
      </c>
      <c r="B2862" s="89" t="s">
        <v>2726</v>
      </c>
      <c r="C2862" s="102" t="s">
        <v>1058</v>
      </c>
    </row>
    <row r="2863" spans="1:3" ht="15">
      <c r="A2863" s="90" t="s">
        <v>288</v>
      </c>
      <c r="B2863" s="89" t="s">
        <v>2705</v>
      </c>
      <c r="C2863" s="102" t="s">
        <v>1058</v>
      </c>
    </row>
    <row r="2864" spans="1:3" ht="15">
      <c r="A2864" s="90" t="s">
        <v>288</v>
      </c>
      <c r="B2864" s="89" t="s">
        <v>3618</v>
      </c>
      <c r="C2864" s="102" t="s">
        <v>1058</v>
      </c>
    </row>
    <row r="2865" spans="1:3" ht="15">
      <c r="A2865" s="90" t="s">
        <v>288</v>
      </c>
      <c r="B2865" s="89" t="s">
        <v>3137</v>
      </c>
      <c r="C2865" s="102" t="s">
        <v>1058</v>
      </c>
    </row>
    <row r="2866" spans="1:3" ht="15">
      <c r="A2866" s="90" t="s">
        <v>288</v>
      </c>
      <c r="B2866" s="89" t="s">
        <v>3333</v>
      </c>
      <c r="C2866" s="102" t="s">
        <v>1058</v>
      </c>
    </row>
    <row r="2867" spans="1:3" ht="15">
      <c r="A2867" s="90" t="s">
        <v>288</v>
      </c>
      <c r="B2867" s="89" t="s">
        <v>2727</v>
      </c>
      <c r="C2867" s="102" t="s">
        <v>1058</v>
      </c>
    </row>
    <row r="2868" spans="1:3" ht="15">
      <c r="A2868" s="90" t="s">
        <v>288</v>
      </c>
      <c r="B2868" s="89" t="s">
        <v>2728</v>
      </c>
      <c r="C2868" s="102" t="s">
        <v>1058</v>
      </c>
    </row>
    <row r="2869" spans="1:3" ht="15">
      <c r="A2869" s="90" t="s">
        <v>288</v>
      </c>
      <c r="B2869" s="89" t="s">
        <v>3158</v>
      </c>
      <c r="C2869" s="102" t="s">
        <v>1058</v>
      </c>
    </row>
    <row r="2870" spans="1:3" ht="15">
      <c r="A2870" s="90" t="s">
        <v>288</v>
      </c>
      <c r="B2870" s="89" t="s">
        <v>2663</v>
      </c>
      <c r="C2870" s="102" t="s">
        <v>1058</v>
      </c>
    </row>
    <row r="2871" spans="1:3" ht="15">
      <c r="A2871" s="90" t="s">
        <v>288</v>
      </c>
      <c r="B2871" s="89" t="s">
        <v>3502</v>
      </c>
      <c r="C2871" s="102" t="s">
        <v>1058</v>
      </c>
    </row>
    <row r="2872" spans="1:3" ht="15">
      <c r="A2872" s="90" t="s">
        <v>288</v>
      </c>
      <c r="B2872" s="89" t="s">
        <v>712</v>
      </c>
      <c r="C2872" s="102" t="s">
        <v>1058</v>
      </c>
    </row>
    <row r="2873" spans="1:3" ht="15">
      <c r="A2873" s="90" t="s">
        <v>288</v>
      </c>
      <c r="B2873" s="89" t="s">
        <v>4065</v>
      </c>
      <c r="C2873" s="102" t="s">
        <v>1057</v>
      </c>
    </row>
    <row r="2874" spans="1:3" ht="15">
      <c r="A2874" s="90" t="s">
        <v>288</v>
      </c>
      <c r="B2874" s="89" t="s">
        <v>3697</v>
      </c>
      <c r="C2874" s="102" t="s">
        <v>1057</v>
      </c>
    </row>
    <row r="2875" spans="1:3" ht="15">
      <c r="A2875" s="90" t="s">
        <v>288</v>
      </c>
      <c r="B2875" s="89" t="s">
        <v>3744</v>
      </c>
      <c r="C2875" s="102" t="s">
        <v>1057</v>
      </c>
    </row>
    <row r="2876" spans="1:3" ht="15">
      <c r="A2876" s="90" t="s">
        <v>288</v>
      </c>
      <c r="B2876" s="89" t="s">
        <v>2749</v>
      </c>
      <c r="C2876" s="102" t="s">
        <v>1057</v>
      </c>
    </row>
    <row r="2877" spans="1:3" ht="15">
      <c r="A2877" s="90" t="s">
        <v>288</v>
      </c>
      <c r="B2877" s="89" t="s">
        <v>4073</v>
      </c>
      <c r="C2877" s="102" t="s">
        <v>1057</v>
      </c>
    </row>
    <row r="2878" spans="1:3" ht="15">
      <c r="A2878" s="90" t="s">
        <v>288</v>
      </c>
      <c r="B2878" s="89" t="s">
        <v>4074</v>
      </c>
      <c r="C2878" s="102" t="s">
        <v>1057</v>
      </c>
    </row>
    <row r="2879" spans="1:3" ht="15">
      <c r="A2879" s="90" t="s">
        <v>288</v>
      </c>
      <c r="B2879" s="89" t="s">
        <v>2726</v>
      </c>
      <c r="C2879" s="102" t="s">
        <v>1057</v>
      </c>
    </row>
    <row r="2880" spans="1:3" ht="15">
      <c r="A2880" s="90" t="s">
        <v>288</v>
      </c>
      <c r="B2880" s="89" t="s">
        <v>2705</v>
      </c>
      <c r="C2880" s="102" t="s">
        <v>1057</v>
      </c>
    </row>
    <row r="2881" spans="1:3" ht="15">
      <c r="A2881" s="90" t="s">
        <v>288</v>
      </c>
      <c r="B2881" s="89" t="s">
        <v>2661</v>
      </c>
      <c r="C2881" s="102" t="s">
        <v>1057</v>
      </c>
    </row>
    <row r="2882" spans="1:3" ht="15">
      <c r="A2882" s="90" t="s">
        <v>288</v>
      </c>
      <c r="B2882" s="89" t="s">
        <v>3618</v>
      </c>
      <c r="C2882" s="102" t="s">
        <v>1057</v>
      </c>
    </row>
    <row r="2883" spans="1:3" ht="15">
      <c r="A2883" s="90" t="s">
        <v>288</v>
      </c>
      <c r="B2883" s="89" t="s">
        <v>3137</v>
      </c>
      <c r="C2883" s="102" t="s">
        <v>1057</v>
      </c>
    </row>
    <row r="2884" spans="1:3" ht="15">
      <c r="A2884" s="90" t="s">
        <v>288</v>
      </c>
      <c r="B2884" s="89" t="s">
        <v>3333</v>
      </c>
      <c r="C2884" s="102" t="s">
        <v>1057</v>
      </c>
    </row>
    <row r="2885" spans="1:3" ht="15">
      <c r="A2885" s="90" t="s">
        <v>288</v>
      </c>
      <c r="B2885" s="89" t="s">
        <v>2727</v>
      </c>
      <c r="C2885" s="102" t="s">
        <v>1057</v>
      </c>
    </row>
    <row r="2886" spans="1:3" ht="15">
      <c r="A2886" s="90" t="s">
        <v>288</v>
      </c>
      <c r="B2886" s="89" t="s">
        <v>2728</v>
      </c>
      <c r="C2886" s="102" t="s">
        <v>1057</v>
      </c>
    </row>
    <row r="2887" spans="1:3" ht="15">
      <c r="A2887" s="90" t="s">
        <v>288</v>
      </c>
      <c r="B2887" s="89" t="s">
        <v>3158</v>
      </c>
      <c r="C2887" s="102" t="s">
        <v>1057</v>
      </c>
    </row>
    <row r="2888" spans="1:3" ht="15">
      <c r="A2888" s="90" t="s">
        <v>288</v>
      </c>
      <c r="B2888" s="89" t="s">
        <v>2663</v>
      </c>
      <c r="C2888" s="102" t="s">
        <v>1057</v>
      </c>
    </row>
    <row r="2889" spans="1:3" ht="15">
      <c r="A2889" s="90" t="s">
        <v>288</v>
      </c>
      <c r="B2889" s="89" t="s">
        <v>3502</v>
      </c>
      <c r="C2889" s="102" t="s">
        <v>1057</v>
      </c>
    </row>
    <row r="2890" spans="1:3" ht="15">
      <c r="A2890" s="90" t="s">
        <v>288</v>
      </c>
      <c r="B2890" s="89" t="s">
        <v>712</v>
      </c>
      <c r="C2890" s="102" t="s">
        <v>1057</v>
      </c>
    </row>
    <row r="2891" spans="1:3" ht="15">
      <c r="A2891" s="90" t="s">
        <v>288</v>
      </c>
      <c r="B2891" s="89" t="s">
        <v>453</v>
      </c>
      <c r="C2891" s="102" t="s">
        <v>1056</v>
      </c>
    </row>
    <row r="2892" spans="1:3" ht="15">
      <c r="A2892" s="90" t="s">
        <v>288</v>
      </c>
      <c r="B2892" s="89" t="s">
        <v>4072</v>
      </c>
      <c r="C2892" s="102" t="s">
        <v>1056</v>
      </c>
    </row>
    <row r="2893" spans="1:3" ht="15">
      <c r="A2893" s="90" t="s">
        <v>288</v>
      </c>
      <c r="B2893" s="89" t="s">
        <v>3957</v>
      </c>
      <c r="C2893" s="102" t="s">
        <v>1056</v>
      </c>
    </row>
    <row r="2894" spans="1:3" ht="15">
      <c r="A2894" s="90" t="s">
        <v>288</v>
      </c>
      <c r="B2894" s="89" t="s">
        <v>2761</v>
      </c>
      <c r="C2894" s="102" t="s">
        <v>1056</v>
      </c>
    </row>
    <row r="2895" spans="1:3" ht="15">
      <c r="A2895" s="90" t="s">
        <v>288</v>
      </c>
      <c r="B2895" s="89" t="s">
        <v>3697</v>
      </c>
      <c r="C2895" s="102" t="s">
        <v>1056</v>
      </c>
    </row>
    <row r="2896" spans="1:3" ht="15">
      <c r="A2896" s="90" t="s">
        <v>288</v>
      </c>
      <c r="B2896" s="89" t="s">
        <v>4073</v>
      </c>
      <c r="C2896" s="102" t="s">
        <v>1056</v>
      </c>
    </row>
    <row r="2897" spans="1:3" ht="15">
      <c r="A2897" s="90" t="s">
        <v>288</v>
      </c>
      <c r="B2897" s="89" t="s">
        <v>4074</v>
      </c>
      <c r="C2897" s="102" t="s">
        <v>1056</v>
      </c>
    </row>
    <row r="2898" spans="1:3" ht="15">
      <c r="A2898" s="90" t="s">
        <v>288</v>
      </c>
      <c r="B2898" s="89" t="s">
        <v>2726</v>
      </c>
      <c r="C2898" s="102" t="s">
        <v>1056</v>
      </c>
    </row>
    <row r="2899" spans="1:3" ht="15">
      <c r="A2899" s="90" t="s">
        <v>288</v>
      </c>
      <c r="B2899" s="89" t="s">
        <v>2705</v>
      </c>
      <c r="C2899" s="102" t="s">
        <v>1056</v>
      </c>
    </row>
    <row r="2900" spans="1:3" ht="15">
      <c r="A2900" s="90" t="s">
        <v>288</v>
      </c>
      <c r="B2900" s="89" t="s">
        <v>2661</v>
      </c>
      <c r="C2900" s="102" t="s">
        <v>1056</v>
      </c>
    </row>
    <row r="2901" spans="1:3" ht="15">
      <c r="A2901" s="90" t="s">
        <v>288</v>
      </c>
      <c r="B2901" s="89" t="s">
        <v>3618</v>
      </c>
      <c r="C2901" s="102" t="s">
        <v>1056</v>
      </c>
    </row>
    <row r="2902" spans="1:3" ht="15">
      <c r="A2902" s="90" t="s">
        <v>288</v>
      </c>
      <c r="B2902" s="89" t="s">
        <v>3137</v>
      </c>
      <c r="C2902" s="102" t="s">
        <v>1056</v>
      </c>
    </row>
    <row r="2903" spans="1:3" ht="15">
      <c r="A2903" s="90" t="s">
        <v>288</v>
      </c>
      <c r="B2903" s="89" t="s">
        <v>3333</v>
      </c>
      <c r="C2903" s="102" t="s">
        <v>1056</v>
      </c>
    </row>
    <row r="2904" spans="1:3" ht="15">
      <c r="A2904" s="90" t="s">
        <v>288</v>
      </c>
      <c r="B2904" s="89" t="s">
        <v>2727</v>
      </c>
      <c r="C2904" s="102" t="s">
        <v>1056</v>
      </c>
    </row>
    <row r="2905" spans="1:3" ht="15">
      <c r="A2905" s="90" t="s">
        <v>288</v>
      </c>
      <c r="B2905" s="89" t="s">
        <v>2728</v>
      </c>
      <c r="C2905" s="102" t="s">
        <v>1056</v>
      </c>
    </row>
    <row r="2906" spans="1:3" ht="15">
      <c r="A2906" s="90" t="s">
        <v>288</v>
      </c>
      <c r="B2906" s="89" t="s">
        <v>3158</v>
      </c>
      <c r="C2906" s="102" t="s">
        <v>1056</v>
      </c>
    </row>
    <row r="2907" spans="1:3" ht="15">
      <c r="A2907" s="90" t="s">
        <v>288</v>
      </c>
      <c r="B2907" s="89" t="s">
        <v>2663</v>
      </c>
      <c r="C2907" s="102" t="s">
        <v>1056</v>
      </c>
    </row>
    <row r="2908" spans="1:3" ht="15">
      <c r="A2908" s="90" t="s">
        <v>288</v>
      </c>
      <c r="B2908" s="89" t="s">
        <v>3502</v>
      </c>
      <c r="C2908" s="102" t="s">
        <v>1056</v>
      </c>
    </row>
    <row r="2909" spans="1:3" ht="15">
      <c r="A2909" s="90" t="s">
        <v>288</v>
      </c>
      <c r="B2909" s="89" t="s">
        <v>712</v>
      </c>
      <c r="C2909" s="102" t="s">
        <v>1056</v>
      </c>
    </row>
    <row r="2910" spans="1:3" ht="15">
      <c r="A2910" s="90" t="s">
        <v>288</v>
      </c>
      <c r="B2910" s="89" t="s">
        <v>452</v>
      </c>
      <c r="C2910" s="102" t="s">
        <v>1055</v>
      </c>
    </row>
    <row r="2911" spans="1:3" ht="15">
      <c r="A2911" s="90" t="s">
        <v>288</v>
      </c>
      <c r="B2911" s="89" t="s">
        <v>4072</v>
      </c>
      <c r="C2911" s="102" t="s">
        <v>1055</v>
      </c>
    </row>
    <row r="2912" spans="1:3" ht="15">
      <c r="A2912" s="90" t="s">
        <v>288</v>
      </c>
      <c r="B2912" s="89" t="s">
        <v>3957</v>
      </c>
      <c r="C2912" s="102" t="s">
        <v>1055</v>
      </c>
    </row>
    <row r="2913" spans="1:3" ht="15">
      <c r="A2913" s="90" t="s">
        <v>288</v>
      </c>
      <c r="B2913" s="89" t="s">
        <v>2761</v>
      </c>
      <c r="C2913" s="102" t="s">
        <v>1055</v>
      </c>
    </row>
    <row r="2914" spans="1:3" ht="15">
      <c r="A2914" s="90" t="s">
        <v>288</v>
      </c>
      <c r="B2914" s="89" t="s">
        <v>3697</v>
      </c>
      <c r="C2914" s="102" t="s">
        <v>1055</v>
      </c>
    </row>
    <row r="2915" spans="1:3" ht="15">
      <c r="A2915" s="90" t="s">
        <v>288</v>
      </c>
      <c r="B2915" s="89" t="s">
        <v>4073</v>
      </c>
      <c r="C2915" s="102" t="s">
        <v>1055</v>
      </c>
    </row>
    <row r="2916" spans="1:3" ht="15">
      <c r="A2916" s="90" t="s">
        <v>288</v>
      </c>
      <c r="B2916" s="89" t="s">
        <v>4074</v>
      </c>
      <c r="C2916" s="102" t="s">
        <v>1055</v>
      </c>
    </row>
    <row r="2917" spans="1:3" ht="15">
      <c r="A2917" s="90" t="s">
        <v>288</v>
      </c>
      <c r="B2917" s="89" t="s">
        <v>2726</v>
      </c>
      <c r="C2917" s="102" t="s">
        <v>1055</v>
      </c>
    </row>
    <row r="2918" spans="1:3" ht="15">
      <c r="A2918" s="90" t="s">
        <v>288</v>
      </c>
      <c r="B2918" s="89" t="s">
        <v>2705</v>
      </c>
      <c r="C2918" s="102" t="s">
        <v>1055</v>
      </c>
    </row>
    <row r="2919" spans="1:3" ht="15">
      <c r="A2919" s="90" t="s">
        <v>288</v>
      </c>
      <c r="B2919" s="89" t="s">
        <v>2661</v>
      </c>
      <c r="C2919" s="102" t="s">
        <v>1055</v>
      </c>
    </row>
    <row r="2920" spans="1:3" ht="15">
      <c r="A2920" s="90" t="s">
        <v>288</v>
      </c>
      <c r="B2920" s="89" t="s">
        <v>3618</v>
      </c>
      <c r="C2920" s="102" t="s">
        <v>1055</v>
      </c>
    </row>
    <row r="2921" spans="1:3" ht="15">
      <c r="A2921" s="90" t="s">
        <v>288</v>
      </c>
      <c r="B2921" s="89" t="s">
        <v>3137</v>
      </c>
      <c r="C2921" s="102" t="s">
        <v>1055</v>
      </c>
    </row>
    <row r="2922" spans="1:3" ht="15">
      <c r="A2922" s="90" t="s">
        <v>288</v>
      </c>
      <c r="B2922" s="89" t="s">
        <v>3333</v>
      </c>
      <c r="C2922" s="102" t="s">
        <v>1055</v>
      </c>
    </row>
    <row r="2923" spans="1:3" ht="15">
      <c r="A2923" s="90" t="s">
        <v>288</v>
      </c>
      <c r="B2923" s="89" t="s">
        <v>2727</v>
      </c>
      <c r="C2923" s="102" t="s">
        <v>1055</v>
      </c>
    </row>
    <row r="2924" spans="1:3" ht="15">
      <c r="A2924" s="90" t="s">
        <v>288</v>
      </c>
      <c r="B2924" s="89" t="s">
        <v>2728</v>
      </c>
      <c r="C2924" s="102" t="s">
        <v>1055</v>
      </c>
    </row>
    <row r="2925" spans="1:3" ht="15">
      <c r="A2925" s="90" t="s">
        <v>288</v>
      </c>
      <c r="B2925" s="89" t="s">
        <v>3158</v>
      </c>
      <c r="C2925" s="102" t="s">
        <v>1055</v>
      </c>
    </row>
    <row r="2926" spans="1:3" ht="15">
      <c r="A2926" s="90" t="s">
        <v>288</v>
      </c>
      <c r="B2926" s="89" t="s">
        <v>2663</v>
      </c>
      <c r="C2926" s="102" t="s">
        <v>1055</v>
      </c>
    </row>
    <row r="2927" spans="1:3" ht="15">
      <c r="A2927" s="90" t="s">
        <v>288</v>
      </c>
      <c r="B2927" s="89" t="s">
        <v>3502</v>
      </c>
      <c r="C2927" s="102" t="s">
        <v>1055</v>
      </c>
    </row>
    <row r="2928" spans="1:3" ht="15">
      <c r="A2928" s="90" t="s">
        <v>288</v>
      </c>
      <c r="B2928" s="89" t="s">
        <v>712</v>
      </c>
      <c r="C2928" s="102" t="s">
        <v>1055</v>
      </c>
    </row>
    <row r="2929" spans="1:3" ht="15">
      <c r="A2929" s="90" t="s">
        <v>288</v>
      </c>
      <c r="B2929" s="89" t="s">
        <v>4082</v>
      </c>
      <c r="C2929" s="102" t="s">
        <v>1055</v>
      </c>
    </row>
    <row r="2930" spans="1:3" ht="15">
      <c r="A2930" s="90" t="s">
        <v>288</v>
      </c>
      <c r="B2930" s="89" t="s">
        <v>4083</v>
      </c>
      <c r="C2930" s="102" t="s">
        <v>1055</v>
      </c>
    </row>
    <row r="2931" spans="1:3" ht="15">
      <c r="A2931" s="90" t="s">
        <v>288</v>
      </c>
      <c r="B2931" s="89" t="s">
        <v>4084</v>
      </c>
      <c r="C2931" s="102" t="s">
        <v>1055</v>
      </c>
    </row>
    <row r="2932" spans="1:3" ht="15">
      <c r="A2932" s="90" t="s">
        <v>288</v>
      </c>
      <c r="B2932" s="89" t="s">
        <v>2742</v>
      </c>
      <c r="C2932" s="102" t="s">
        <v>1055</v>
      </c>
    </row>
    <row r="2933" spans="1:3" ht="15">
      <c r="A2933" s="90" t="s">
        <v>288</v>
      </c>
      <c r="B2933" s="89" t="s">
        <v>4085</v>
      </c>
      <c r="C2933" s="102" t="s">
        <v>1055</v>
      </c>
    </row>
    <row r="2934" spans="1:3" ht="15">
      <c r="A2934" s="90" t="s">
        <v>288</v>
      </c>
      <c r="B2934" s="89" t="s">
        <v>4086</v>
      </c>
      <c r="C2934" s="102" t="s">
        <v>1055</v>
      </c>
    </row>
    <row r="2935" spans="1:3" ht="15">
      <c r="A2935" s="90" t="s">
        <v>288</v>
      </c>
      <c r="B2935" s="89" t="s">
        <v>4087</v>
      </c>
      <c r="C2935" s="102" t="s">
        <v>1055</v>
      </c>
    </row>
    <row r="2936" spans="1:3" ht="15">
      <c r="A2936" s="90" t="s">
        <v>288</v>
      </c>
      <c r="B2936" s="89" t="s">
        <v>4088</v>
      </c>
      <c r="C2936" s="102" t="s">
        <v>1055</v>
      </c>
    </row>
    <row r="2937" spans="1:3" ht="15">
      <c r="A2937" s="90" t="s">
        <v>366</v>
      </c>
      <c r="B2937" s="89" t="s">
        <v>3367</v>
      </c>
      <c r="C2937" s="102" t="s">
        <v>1188</v>
      </c>
    </row>
    <row r="2938" spans="1:3" ht="15">
      <c r="A2938" s="90" t="s">
        <v>366</v>
      </c>
      <c r="B2938" s="89" t="s">
        <v>3204</v>
      </c>
      <c r="C2938" s="102" t="s">
        <v>1188</v>
      </c>
    </row>
    <row r="2939" spans="1:3" ht="15">
      <c r="A2939" s="90" t="s">
        <v>366</v>
      </c>
      <c r="B2939" s="89" t="s">
        <v>3141</v>
      </c>
      <c r="C2939" s="102" t="s">
        <v>1188</v>
      </c>
    </row>
    <row r="2940" spans="1:3" ht="15">
      <c r="A2940" s="90" t="s">
        <v>366</v>
      </c>
      <c r="B2940" s="89" t="s">
        <v>2735</v>
      </c>
      <c r="C2940" s="102" t="s">
        <v>1188</v>
      </c>
    </row>
    <row r="2941" spans="1:3" ht="15">
      <c r="A2941" s="90" t="s">
        <v>366</v>
      </c>
      <c r="B2941" s="89" t="s">
        <v>2736</v>
      </c>
      <c r="C2941" s="102" t="s">
        <v>1188</v>
      </c>
    </row>
    <row r="2942" spans="1:3" ht="15">
      <c r="A2942" s="90" t="s">
        <v>366</v>
      </c>
      <c r="B2942" s="89" t="s">
        <v>3196</v>
      </c>
      <c r="C2942" s="102" t="s">
        <v>1188</v>
      </c>
    </row>
    <row r="2943" spans="1:3" ht="15">
      <c r="A2943" s="90" t="s">
        <v>366</v>
      </c>
      <c r="B2943" s="89" t="s">
        <v>3192</v>
      </c>
      <c r="C2943" s="102" t="s">
        <v>1188</v>
      </c>
    </row>
    <row r="2944" spans="1:3" ht="15">
      <c r="A2944" s="90" t="s">
        <v>366</v>
      </c>
      <c r="B2944" s="89" t="s">
        <v>2770</v>
      </c>
      <c r="C2944" s="102" t="s">
        <v>1188</v>
      </c>
    </row>
    <row r="2945" spans="1:3" ht="15">
      <c r="A2945" s="90" t="s">
        <v>366</v>
      </c>
      <c r="B2945" s="89" t="s">
        <v>3137</v>
      </c>
      <c r="C2945" s="102" t="s">
        <v>1188</v>
      </c>
    </row>
    <row r="2946" spans="1:3" ht="15">
      <c r="A2946" s="90" t="s">
        <v>366</v>
      </c>
      <c r="B2946" s="89" t="s">
        <v>3155</v>
      </c>
      <c r="C2946" s="102" t="s">
        <v>1188</v>
      </c>
    </row>
    <row r="2947" spans="1:3" ht="15">
      <c r="A2947" s="90" t="s">
        <v>366</v>
      </c>
      <c r="B2947" s="89" t="s">
        <v>2771</v>
      </c>
      <c r="C2947" s="102" t="s">
        <v>1188</v>
      </c>
    </row>
    <row r="2948" spans="1:3" ht="15">
      <c r="A2948" s="90" t="s">
        <v>366</v>
      </c>
      <c r="B2948" s="89" t="s">
        <v>2747</v>
      </c>
      <c r="C2948" s="102" t="s">
        <v>1188</v>
      </c>
    </row>
    <row r="2949" spans="1:3" ht="15">
      <c r="A2949" s="90" t="s">
        <v>366</v>
      </c>
      <c r="B2949" s="89" t="s">
        <v>2772</v>
      </c>
      <c r="C2949" s="102" t="s">
        <v>1188</v>
      </c>
    </row>
    <row r="2950" spans="1:3" ht="15">
      <c r="A2950" s="90" t="s">
        <v>366</v>
      </c>
      <c r="B2950" s="89" t="s">
        <v>3170</v>
      </c>
      <c r="C2950" s="102" t="s">
        <v>1188</v>
      </c>
    </row>
    <row r="2951" spans="1:3" ht="15">
      <c r="A2951" s="90" t="s">
        <v>366</v>
      </c>
      <c r="B2951" s="89" t="s">
        <v>3289</v>
      </c>
      <c r="C2951" s="102" t="s">
        <v>1188</v>
      </c>
    </row>
    <row r="2952" spans="1:3" ht="15">
      <c r="A2952" s="90" t="s">
        <v>366</v>
      </c>
      <c r="B2952" s="89" t="s">
        <v>2773</v>
      </c>
      <c r="C2952" s="102" t="s">
        <v>1188</v>
      </c>
    </row>
    <row r="2953" spans="1:3" ht="15">
      <c r="A2953" s="90" t="s">
        <v>366</v>
      </c>
      <c r="B2953" s="89" t="s">
        <v>3368</v>
      </c>
      <c r="C2953" s="102" t="s">
        <v>1188</v>
      </c>
    </row>
    <row r="2954" spans="1:3" ht="15">
      <c r="A2954" s="90" t="s">
        <v>366</v>
      </c>
      <c r="B2954" s="89" t="s">
        <v>3369</v>
      </c>
      <c r="C2954" s="102" t="s">
        <v>1188</v>
      </c>
    </row>
    <row r="2955" spans="1:3" ht="15">
      <c r="A2955" s="90" t="s">
        <v>366</v>
      </c>
      <c r="B2955" s="89" t="s">
        <v>2774</v>
      </c>
      <c r="C2955" s="102" t="s">
        <v>1188</v>
      </c>
    </row>
    <row r="2956" spans="1:3" ht="15">
      <c r="A2956" s="90" t="s">
        <v>366</v>
      </c>
      <c r="B2956" s="89" t="s">
        <v>2775</v>
      </c>
      <c r="C2956" s="102" t="s">
        <v>1188</v>
      </c>
    </row>
    <row r="2957" spans="1:3" ht="15">
      <c r="A2957" s="90" t="s">
        <v>366</v>
      </c>
      <c r="B2957" s="89" t="s">
        <v>3370</v>
      </c>
      <c r="C2957" s="102" t="s">
        <v>1188</v>
      </c>
    </row>
    <row r="2958" spans="1:3" ht="15">
      <c r="A2958" s="90" t="s">
        <v>366</v>
      </c>
      <c r="B2958" s="89" t="s">
        <v>3278</v>
      </c>
      <c r="C2958" s="102" t="s">
        <v>1188</v>
      </c>
    </row>
    <row r="2959" spans="1:3" ht="15">
      <c r="A2959" s="90" t="s">
        <v>366</v>
      </c>
      <c r="B2959" s="89" t="s">
        <v>1621</v>
      </c>
      <c r="C2959" s="102" t="s">
        <v>1188</v>
      </c>
    </row>
    <row r="2960" spans="1:3" ht="15">
      <c r="A2960" s="90" t="s">
        <v>366</v>
      </c>
      <c r="B2960" s="89" t="s">
        <v>2776</v>
      </c>
      <c r="C2960" s="102" t="s">
        <v>1188</v>
      </c>
    </row>
    <row r="2961" spans="1:3" ht="15">
      <c r="A2961" s="90" t="s">
        <v>366</v>
      </c>
      <c r="B2961" s="89" t="s">
        <v>3367</v>
      </c>
      <c r="C2961" s="102" t="s">
        <v>1190</v>
      </c>
    </row>
    <row r="2962" spans="1:3" ht="15">
      <c r="A2962" s="90" t="s">
        <v>366</v>
      </c>
      <c r="B2962" s="89" t="s">
        <v>3570</v>
      </c>
      <c r="C2962" s="102" t="s">
        <v>1190</v>
      </c>
    </row>
    <row r="2963" spans="1:3" ht="15">
      <c r="A2963" s="90" t="s">
        <v>366</v>
      </c>
      <c r="B2963" s="89" t="s">
        <v>3141</v>
      </c>
      <c r="C2963" s="102" t="s">
        <v>1190</v>
      </c>
    </row>
    <row r="2964" spans="1:3" ht="15">
      <c r="A2964" s="90" t="s">
        <v>366</v>
      </c>
      <c r="B2964" s="89" t="s">
        <v>2873</v>
      </c>
      <c r="C2964" s="102" t="s">
        <v>1190</v>
      </c>
    </row>
    <row r="2965" spans="1:3" ht="15">
      <c r="A2965" s="90" t="s">
        <v>366</v>
      </c>
      <c r="B2965" s="89" t="s">
        <v>3873</v>
      </c>
      <c r="C2965" s="102" t="s">
        <v>1190</v>
      </c>
    </row>
    <row r="2966" spans="1:3" ht="15">
      <c r="A2966" s="90" t="s">
        <v>366</v>
      </c>
      <c r="B2966" s="89" t="s">
        <v>3874</v>
      </c>
      <c r="C2966" s="102" t="s">
        <v>1190</v>
      </c>
    </row>
    <row r="2967" spans="1:3" ht="15">
      <c r="A2967" s="90" t="s">
        <v>366</v>
      </c>
      <c r="B2967" s="89" t="s">
        <v>3253</v>
      </c>
      <c r="C2967" s="102" t="s">
        <v>1190</v>
      </c>
    </row>
    <row r="2968" spans="1:3" ht="15">
      <c r="A2968" s="90" t="s">
        <v>366</v>
      </c>
      <c r="B2968" s="89" t="s">
        <v>3009</v>
      </c>
      <c r="C2968" s="102" t="s">
        <v>1190</v>
      </c>
    </row>
    <row r="2969" spans="1:3" ht="15">
      <c r="A2969" s="90" t="s">
        <v>366</v>
      </c>
      <c r="B2969" s="89" t="s">
        <v>3010</v>
      </c>
      <c r="C2969" s="102" t="s">
        <v>1190</v>
      </c>
    </row>
    <row r="2970" spans="1:3" ht="15">
      <c r="A2970" s="90" t="s">
        <v>366</v>
      </c>
      <c r="B2970" s="89" t="s">
        <v>3875</v>
      </c>
      <c r="C2970" s="102" t="s">
        <v>1190</v>
      </c>
    </row>
    <row r="2971" spans="1:3" ht="15">
      <c r="A2971" s="90" t="s">
        <v>366</v>
      </c>
      <c r="B2971" s="89" t="s">
        <v>3304</v>
      </c>
      <c r="C2971" s="102" t="s">
        <v>1190</v>
      </c>
    </row>
    <row r="2972" spans="1:3" ht="15">
      <c r="A2972" s="90" t="s">
        <v>366</v>
      </c>
      <c r="B2972" s="89" t="s">
        <v>3297</v>
      </c>
      <c r="C2972" s="102" t="s">
        <v>1190</v>
      </c>
    </row>
    <row r="2973" spans="1:3" ht="15">
      <c r="A2973" s="90" t="s">
        <v>366</v>
      </c>
      <c r="B2973" s="89" t="s">
        <v>3876</v>
      </c>
      <c r="C2973" s="102" t="s">
        <v>1190</v>
      </c>
    </row>
    <row r="2974" spans="1:3" ht="15">
      <c r="A2974" s="90" t="s">
        <v>366</v>
      </c>
      <c r="B2974" s="89" t="s">
        <v>3816</v>
      </c>
      <c r="C2974" s="102" t="s">
        <v>1190</v>
      </c>
    </row>
    <row r="2975" spans="1:3" ht="15">
      <c r="A2975" s="90" t="s">
        <v>366</v>
      </c>
      <c r="B2975" s="89" t="s">
        <v>3012</v>
      </c>
      <c r="C2975" s="102" t="s">
        <v>1190</v>
      </c>
    </row>
    <row r="2976" spans="1:3" ht="15">
      <c r="A2976" s="90" t="s">
        <v>366</v>
      </c>
      <c r="B2976" s="89" t="s">
        <v>3161</v>
      </c>
      <c r="C2976" s="102" t="s">
        <v>1190</v>
      </c>
    </row>
    <row r="2977" spans="1:3" ht="15">
      <c r="A2977" s="90" t="s">
        <v>366</v>
      </c>
      <c r="B2977" s="89" t="s">
        <v>2743</v>
      </c>
      <c r="C2977" s="102" t="s">
        <v>1190</v>
      </c>
    </row>
    <row r="2978" spans="1:3" ht="15">
      <c r="A2978" s="90" t="s">
        <v>366</v>
      </c>
      <c r="B2978" s="89" t="s">
        <v>3013</v>
      </c>
      <c r="C2978" s="102" t="s">
        <v>1190</v>
      </c>
    </row>
    <row r="2979" spans="1:3" ht="15">
      <c r="A2979" s="90" t="s">
        <v>366</v>
      </c>
      <c r="B2979" s="89" t="s">
        <v>3877</v>
      </c>
      <c r="C2979" s="102" t="s">
        <v>1190</v>
      </c>
    </row>
    <row r="2980" spans="1:3" ht="15">
      <c r="A2980" s="90" t="s">
        <v>366</v>
      </c>
      <c r="B2980" s="89" t="s">
        <v>2709</v>
      </c>
      <c r="C2980" s="102" t="s">
        <v>1190</v>
      </c>
    </row>
    <row r="2981" spans="1:3" ht="15">
      <c r="A2981" s="90" t="s">
        <v>366</v>
      </c>
      <c r="B2981" s="89" t="s">
        <v>3155</v>
      </c>
      <c r="C2981" s="102" t="s">
        <v>1190</v>
      </c>
    </row>
    <row r="2982" spans="1:3" ht="15">
      <c r="A2982" s="90" t="s">
        <v>366</v>
      </c>
      <c r="B2982" s="89" t="s">
        <v>3465</v>
      </c>
      <c r="C2982" s="102" t="s">
        <v>1190</v>
      </c>
    </row>
    <row r="2983" spans="1:3" ht="15">
      <c r="A2983" s="90" t="s">
        <v>366</v>
      </c>
      <c r="B2983" s="89" t="s">
        <v>3464</v>
      </c>
      <c r="C2983" s="102" t="s">
        <v>1190</v>
      </c>
    </row>
    <row r="2984" spans="1:3" ht="15">
      <c r="A2984" s="90" t="s">
        <v>366</v>
      </c>
      <c r="B2984" s="89" t="s">
        <v>2706</v>
      </c>
      <c r="C2984" s="102" t="s">
        <v>1190</v>
      </c>
    </row>
    <row r="2985" spans="1:3" ht="15">
      <c r="A2985" s="90" t="s">
        <v>366</v>
      </c>
      <c r="B2985" s="89" t="s">
        <v>3196</v>
      </c>
      <c r="C2985" s="102" t="s">
        <v>1190</v>
      </c>
    </row>
    <row r="2986" spans="1:3" ht="15">
      <c r="A2986" s="90" t="s">
        <v>366</v>
      </c>
      <c r="B2986" s="89" t="s">
        <v>3015</v>
      </c>
      <c r="C2986" s="102" t="s">
        <v>1190</v>
      </c>
    </row>
    <row r="2987" spans="1:3" ht="15">
      <c r="A2987" s="90" t="s">
        <v>366</v>
      </c>
      <c r="B2987" s="89" t="s">
        <v>3227</v>
      </c>
      <c r="C2987" s="102" t="s">
        <v>1190</v>
      </c>
    </row>
    <row r="2988" spans="1:3" ht="15">
      <c r="A2988" s="90" t="s">
        <v>366</v>
      </c>
      <c r="B2988" s="89" t="s">
        <v>712</v>
      </c>
      <c r="C2988" s="102" t="s">
        <v>1190</v>
      </c>
    </row>
    <row r="2989" spans="1:3" ht="15">
      <c r="A2989" s="90" t="s">
        <v>366</v>
      </c>
      <c r="B2989" s="89" t="s">
        <v>3016</v>
      </c>
      <c r="C2989" s="102" t="s">
        <v>1190</v>
      </c>
    </row>
    <row r="2990" spans="1:3" ht="15">
      <c r="A2990" s="90" t="s">
        <v>366</v>
      </c>
      <c r="B2990" s="89" t="s">
        <v>2735</v>
      </c>
      <c r="C2990" s="102" t="s">
        <v>1190</v>
      </c>
    </row>
    <row r="2991" spans="1:3" ht="15">
      <c r="A2991" s="90" t="s">
        <v>366</v>
      </c>
      <c r="B2991" s="89" t="s">
        <v>2736</v>
      </c>
      <c r="C2991" s="102" t="s">
        <v>1190</v>
      </c>
    </row>
    <row r="2992" spans="1:3" ht="15">
      <c r="A2992" s="90" t="s">
        <v>289</v>
      </c>
      <c r="B2992" s="89" t="s">
        <v>3367</v>
      </c>
      <c r="C2992" s="102" t="s">
        <v>1054</v>
      </c>
    </row>
    <row r="2993" spans="1:3" ht="15">
      <c r="A2993" s="90" t="s">
        <v>289</v>
      </c>
      <c r="B2993" s="89" t="s">
        <v>3204</v>
      </c>
      <c r="C2993" s="102" t="s">
        <v>1054</v>
      </c>
    </row>
    <row r="2994" spans="1:3" ht="15">
      <c r="A2994" s="90" t="s">
        <v>289</v>
      </c>
      <c r="B2994" s="89" t="s">
        <v>3141</v>
      </c>
      <c r="C2994" s="102" t="s">
        <v>1054</v>
      </c>
    </row>
    <row r="2995" spans="1:3" ht="15">
      <c r="A2995" s="90" t="s">
        <v>289</v>
      </c>
      <c r="B2995" s="89" t="s">
        <v>2735</v>
      </c>
      <c r="C2995" s="102" t="s">
        <v>1054</v>
      </c>
    </row>
    <row r="2996" spans="1:3" ht="15">
      <c r="A2996" s="90" t="s">
        <v>289</v>
      </c>
      <c r="B2996" s="89" t="s">
        <v>2736</v>
      </c>
      <c r="C2996" s="102" t="s">
        <v>1054</v>
      </c>
    </row>
    <row r="2997" spans="1:3" ht="15">
      <c r="A2997" s="90" t="s">
        <v>289</v>
      </c>
      <c r="B2997" s="89" t="s">
        <v>3196</v>
      </c>
      <c r="C2997" s="102" t="s">
        <v>1054</v>
      </c>
    </row>
    <row r="2998" spans="1:3" ht="15">
      <c r="A2998" s="90" t="s">
        <v>289</v>
      </c>
      <c r="B2998" s="89" t="s">
        <v>3192</v>
      </c>
      <c r="C2998" s="102" t="s">
        <v>1054</v>
      </c>
    </row>
    <row r="2999" spans="1:3" ht="15">
      <c r="A2999" s="90" t="s">
        <v>289</v>
      </c>
      <c r="B2999" s="89" t="s">
        <v>2770</v>
      </c>
      <c r="C2999" s="102" t="s">
        <v>1054</v>
      </c>
    </row>
    <row r="3000" spans="1:3" ht="15">
      <c r="A3000" s="90" t="s">
        <v>289</v>
      </c>
      <c r="B3000" s="89" t="s">
        <v>3137</v>
      </c>
      <c r="C3000" s="102" t="s">
        <v>1054</v>
      </c>
    </row>
    <row r="3001" spans="1:3" ht="15">
      <c r="A3001" s="90" t="s">
        <v>289</v>
      </c>
      <c r="B3001" s="89" t="s">
        <v>3155</v>
      </c>
      <c r="C3001" s="102" t="s">
        <v>1054</v>
      </c>
    </row>
    <row r="3002" spans="1:3" ht="15">
      <c r="A3002" s="90" t="s">
        <v>289</v>
      </c>
      <c r="B3002" s="89" t="s">
        <v>2771</v>
      </c>
      <c r="C3002" s="102" t="s">
        <v>1054</v>
      </c>
    </row>
    <row r="3003" spans="1:3" ht="15">
      <c r="A3003" s="90" t="s">
        <v>289</v>
      </c>
      <c r="B3003" s="89" t="s">
        <v>2747</v>
      </c>
      <c r="C3003" s="102" t="s">
        <v>1054</v>
      </c>
    </row>
    <row r="3004" spans="1:3" ht="15">
      <c r="A3004" s="90" t="s">
        <v>289</v>
      </c>
      <c r="B3004" s="89" t="s">
        <v>2772</v>
      </c>
      <c r="C3004" s="102" t="s">
        <v>1054</v>
      </c>
    </row>
    <row r="3005" spans="1:3" ht="15">
      <c r="A3005" s="90" t="s">
        <v>289</v>
      </c>
      <c r="B3005" s="89" t="s">
        <v>3170</v>
      </c>
      <c r="C3005" s="102" t="s">
        <v>1054</v>
      </c>
    </row>
    <row r="3006" spans="1:3" ht="15">
      <c r="A3006" s="90" t="s">
        <v>289</v>
      </c>
      <c r="B3006" s="89" t="s">
        <v>3289</v>
      </c>
      <c r="C3006" s="102" t="s">
        <v>1054</v>
      </c>
    </row>
    <row r="3007" spans="1:3" ht="15">
      <c r="A3007" s="90" t="s">
        <v>289</v>
      </c>
      <c r="B3007" s="89" t="s">
        <v>2773</v>
      </c>
      <c r="C3007" s="102" t="s">
        <v>1054</v>
      </c>
    </row>
    <row r="3008" spans="1:3" ht="15">
      <c r="A3008" s="90" t="s">
        <v>289</v>
      </c>
      <c r="B3008" s="89" t="s">
        <v>3368</v>
      </c>
      <c r="C3008" s="102" t="s">
        <v>1054</v>
      </c>
    </row>
    <row r="3009" spans="1:3" ht="15">
      <c r="A3009" s="90" t="s">
        <v>289</v>
      </c>
      <c r="B3009" s="89" t="s">
        <v>3369</v>
      </c>
      <c r="C3009" s="102" t="s">
        <v>1054</v>
      </c>
    </row>
    <row r="3010" spans="1:3" ht="15">
      <c r="A3010" s="90" t="s">
        <v>289</v>
      </c>
      <c r="B3010" s="89" t="s">
        <v>2774</v>
      </c>
      <c r="C3010" s="102" t="s">
        <v>1054</v>
      </c>
    </row>
    <row r="3011" spans="1:3" ht="15">
      <c r="A3011" s="90" t="s">
        <v>289</v>
      </c>
      <c r="B3011" s="89" t="s">
        <v>2775</v>
      </c>
      <c r="C3011" s="102" t="s">
        <v>1054</v>
      </c>
    </row>
    <row r="3012" spans="1:3" ht="15">
      <c r="A3012" s="90" t="s">
        <v>289</v>
      </c>
      <c r="B3012" s="89" t="s">
        <v>3370</v>
      </c>
      <c r="C3012" s="102" t="s">
        <v>1054</v>
      </c>
    </row>
    <row r="3013" spans="1:3" ht="15">
      <c r="A3013" s="90" t="s">
        <v>289</v>
      </c>
      <c r="B3013" s="89" t="s">
        <v>3278</v>
      </c>
      <c r="C3013" s="102" t="s">
        <v>1054</v>
      </c>
    </row>
    <row r="3014" spans="1:3" ht="15">
      <c r="A3014" s="90" t="s">
        <v>289</v>
      </c>
      <c r="B3014" s="89" t="s">
        <v>1621</v>
      </c>
      <c r="C3014" s="102" t="s">
        <v>1054</v>
      </c>
    </row>
    <row r="3015" spans="1:3" ht="15">
      <c r="A3015" s="90" t="s">
        <v>289</v>
      </c>
      <c r="B3015" s="89" t="s">
        <v>2776</v>
      </c>
      <c r="C3015" s="102" t="s">
        <v>1054</v>
      </c>
    </row>
    <row r="3016" spans="1:3" ht="15">
      <c r="A3016" s="90" t="s">
        <v>288</v>
      </c>
      <c r="B3016" s="89" t="s">
        <v>4089</v>
      </c>
      <c r="C3016" s="102" t="s">
        <v>1051</v>
      </c>
    </row>
    <row r="3017" spans="1:3" ht="15">
      <c r="A3017" s="90" t="s">
        <v>288</v>
      </c>
      <c r="B3017" s="89" t="s">
        <v>4090</v>
      </c>
      <c r="C3017" s="102" t="s">
        <v>1051</v>
      </c>
    </row>
    <row r="3018" spans="1:3" ht="15">
      <c r="A3018" s="90" t="s">
        <v>288</v>
      </c>
      <c r="B3018" s="89" t="s">
        <v>3347</v>
      </c>
      <c r="C3018" s="102" t="s">
        <v>1051</v>
      </c>
    </row>
    <row r="3019" spans="1:3" ht="15">
      <c r="A3019" s="90" t="s">
        <v>288</v>
      </c>
      <c r="B3019" s="89" t="s">
        <v>3141</v>
      </c>
      <c r="C3019" s="102" t="s">
        <v>1051</v>
      </c>
    </row>
    <row r="3020" spans="1:3" ht="15">
      <c r="A3020" s="90" t="s">
        <v>288</v>
      </c>
      <c r="B3020" s="89" t="s">
        <v>4091</v>
      </c>
      <c r="C3020" s="102" t="s">
        <v>1051</v>
      </c>
    </row>
    <row r="3021" spans="1:3" ht="15">
      <c r="A3021" s="90" t="s">
        <v>288</v>
      </c>
      <c r="B3021" s="89" t="s">
        <v>3204</v>
      </c>
      <c r="C3021" s="102" t="s">
        <v>1051</v>
      </c>
    </row>
    <row r="3022" spans="1:3" ht="15">
      <c r="A3022" s="90" t="s">
        <v>288</v>
      </c>
      <c r="B3022" s="89" t="s">
        <v>4092</v>
      </c>
      <c r="C3022" s="102" t="s">
        <v>1051</v>
      </c>
    </row>
    <row r="3023" spans="1:3" ht="15">
      <c r="A3023" s="90" t="s">
        <v>288</v>
      </c>
      <c r="B3023" s="89" t="s">
        <v>4093</v>
      </c>
      <c r="C3023" s="102" t="s">
        <v>1051</v>
      </c>
    </row>
    <row r="3024" spans="1:3" ht="15">
      <c r="A3024" s="90" t="s">
        <v>288</v>
      </c>
      <c r="B3024" s="89" t="s">
        <v>4094</v>
      </c>
      <c r="C3024" s="102" t="s">
        <v>1051</v>
      </c>
    </row>
    <row r="3025" spans="1:3" ht="15">
      <c r="A3025" s="90" t="s">
        <v>288</v>
      </c>
      <c r="B3025" s="89" t="s">
        <v>3311</v>
      </c>
      <c r="C3025" s="102" t="s">
        <v>1061</v>
      </c>
    </row>
    <row r="3026" spans="1:3" ht="15">
      <c r="A3026" s="90" t="s">
        <v>288</v>
      </c>
      <c r="B3026" s="89" t="s">
        <v>4072</v>
      </c>
      <c r="C3026" s="102" t="s">
        <v>1061</v>
      </c>
    </row>
    <row r="3027" spans="1:3" ht="15">
      <c r="A3027" s="90" t="s">
        <v>288</v>
      </c>
      <c r="B3027" s="89" t="s">
        <v>3957</v>
      </c>
      <c r="C3027" s="102" t="s">
        <v>1061</v>
      </c>
    </row>
    <row r="3028" spans="1:3" ht="15">
      <c r="A3028" s="90" t="s">
        <v>288</v>
      </c>
      <c r="B3028" s="89" t="s">
        <v>2761</v>
      </c>
      <c r="C3028" s="102" t="s">
        <v>1061</v>
      </c>
    </row>
    <row r="3029" spans="1:3" ht="15">
      <c r="A3029" s="90" t="s">
        <v>288</v>
      </c>
      <c r="B3029" s="89" t="s">
        <v>3697</v>
      </c>
      <c r="C3029" s="102" t="s">
        <v>1061</v>
      </c>
    </row>
    <row r="3030" spans="1:3" ht="15">
      <c r="A3030" s="90" t="s">
        <v>288</v>
      </c>
      <c r="B3030" s="89" t="s">
        <v>4073</v>
      </c>
      <c r="C3030" s="102" t="s">
        <v>1061</v>
      </c>
    </row>
    <row r="3031" spans="1:3" ht="15">
      <c r="A3031" s="90" t="s">
        <v>288</v>
      </c>
      <c r="B3031" s="89" t="s">
        <v>4074</v>
      </c>
      <c r="C3031" s="102" t="s">
        <v>1061</v>
      </c>
    </row>
    <row r="3032" spans="1:3" ht="15">
      <c r="A3032" s="90" t="s">
        <v>288</v>
      </c>
      <c r="B3032" s="89" t="s">
        <v>2726</v>
      </c>
      <c r="C3032" s="102" t="s">
        <v>1061</v>
      </c>
    </row>
    <row r="3033" spans="1:3" ht="15">
      <c r="A3033" s="90" t="s">
        <v>288</v>
      </c>
      <c r="B3033" s="89" t="s">
        <v>2705</v>
      </c>
      <c r="C3033" s="102" t="s">
        <v>1061</v>
      </c>
    </row>
    <row r="3034" spans="1:3" ht="15">
      <c r="A3034" s="90" t="s">
        <v>288</v>
      </c>
      <c r="B3034" s="89" t="s">
        <v>2661</v>
      </c>
      <c r="C3034" s="102" t="s">
        <v>1061</v>
      </c>
    </row>
    <row r="3035" spans="1:3" ht="15">
      <c r="A3035" s="90" t="s">
        <v>288</v>
      </c>
      <c r="B3035" s="89" t="s">
        <v>3618</v>
      </c>
      <c r="C3035" s="102" t="s">
        <v>1061</v>
      </c>
    </row>
    <row r="3036" spans="1:3" ht="15">
      <c r="A3036" s="90" t="s">
        <v>288</v>
      </c>
      <c r="B3036" s="89" t="s">
        <v>3137</v>
      </c>
      <c r="C3036" s="102" t="s">
        <v>1061</v>
      </c>
    </row>
    <row r="3037" spans="1:3" ht="15">
      <c r="A3037" s="90" t="s">
        <v>288</v>
      </c>
      <c r="B3037" s="89" t="s">
        <v>3333</v>
      </c>
      <c r="C3037" s="102" t="s">
        <v>1061</v>
      </c>
    </row>
    <row r="3038" spans="1:3" ht="15">
      <c r="A3038" s="90" t="s">
        <v>288</v>
      </c>
      <c r="B3038" s="89" t="s">
        <v>2727</v>
      </c>
      <c r="C3038" s="102" t="s">
        <v>1061</v>
      </c>
    </row>
    <row r="3039" spans="1:3" ht="15">
      <c r="A3039" s="90" t="s">
        <v>288</v>
      </c>
      <c r="B3039" s="89" t="s">
        <v>2728</v>
      </c>
      <c r="C3039" s="102" t="s">
        <v>1061</v>
      </c>
    </row>
    <row r="3040" spans="1:3" ht="15">
      <c r="A3040" s="90" t="s">
        <v>288</v>
      </c>
      <c r="B3040" s="89" t="s">
        <v>3158</v>
      </c>
      <c r="C3040" s="102" t="s">
        <v>1061</v>
      </c>
    </row>
    <row r="3041" spans="1:3" ht="15">
      <c r="A3041" s="90" t="s">
        <v>288</v>
      </c>
      <c r="B3041" s="89" t="s">
        <v>2663</v>
      </c>
      <c r="C3041" s="102" t="s">
        <v>1061</v>
      </c>
    </row>
    <row r="3042" spans="1:3" ht="15">
      <c r="A3042" s="90" t="s">
        <v>288</v>
      </c>
      <c r="B3042" s="89" t="s">
        <v>3502</v>
      </c>
      <c r="C3042" s="102" t="s">
        <v>1061</v>
      </c>
    </row>
    <row r="3043" spans="1:3" ht="15">
      <c r="A3043" s="90" t="s">
        <v>288</v>
      </c>
      <c r="B3043" s="89" t="s">
        <v>712</v>
      </c>
      <c r="C3043" s="102" t="s">
        <v>1061</v>
      </c>
    </row>
    <row r="3044" spans="1:3" ht="15">
      <c r="A3044" s="90" t="s">
        <v>288</v>
      </c>
      <c r="B3044" s="89" t="s">
        <v>4082</v>
      </c>
      <c r="C3044" s="102" t="s">
        <v>1061</v>
      </c>
    </row>
    <row r="3045" spans="1:3" ht="15">
      <c r="A3045" s="90" t="s">
        <v>288</v>
      </c>
      <c r="B3045" s="89" t="s">
        <v>2812</v>
      </c>
      <c r="C3045" s="102" t="s">
        <v>1061</v>
      </c>
    </row>
    <row r="3046" spans="1:3" ht="15">
      <c r="A3046" s="90" t="s">
        <v>288</v>
      </c>
      <c r="B3046" s="89" t="s">
        <v>4095</v>
      </c>
      <c r="C3046" s="102" t="s">
        <v>1061</v>
      </c>
    </row>
    <row r="3047" spans="1:3" ht="15">
      <c r="A3047" s="90" t="s">
        <v>288</v>
      </c>
      <c r="B3047" s="89" t="s">
        <v>2742</v>
      </c>
      <c r="C3047" s="102" t="s">
        <v>1061</v>
      </c>
    </row>
    <row r="3048" spans="1:3" ht="15">
      <c r="A3048" s="90" t="s">
        <v>288</v>
      </c>
      <c r="B3048" s="89" t="s">
        <v>4096</v>
      </c>
      <c r="C3048" s="102" t="s">
        <v>1061</v>
      </c>
    </row>
    <row r="3049" spans="1:3" ht="15">
      <c r="A3049" s="90" t="s">
        <v>288</v>
      </c>
      <c r="B3049" s="89" t="s">
        <v>4097</v>
      </c>
      <c r="C3049" s="102" t="s">
        <v>1061</v>
      </c>
    </row>
    <row r="3050" spans="1:3" ht="15">
      <c r="A3050" s="90" t="s">
        <v>288</v>
      </c>
      <c r="B3050" s="89" t="s">
        <v>3282</v>
      </c>
      <c r="C3050" s="102" t="s">
        <v>1060</v>
      </c>
    </row>
    <row r="3051" spans="1:3" ht="15">
      <c r="A3051" s="90" t="s">
        <v>288</v>
      </c>
      <c r="B3051" s="89" t="s">
        <v>4098</v>
      </c>
      <c r="C3051" s="102" t="s">
        <v>1060</v>
      </c>
    </row>
    <row r="3052" spans="1:3" ht="15">
      <c r="A3052" s="90" t="s">
        <v>288</v>
      </c>
      <c r="B3052" s="89" t="s">
        <v>3719</v>
      </c>
      <c r="C3052" s="102" t="s">
        <v>1060</v>
      </c>
    </row>
    <row r="3053" spans="1:3" ht="15">
      <c r="A3053" s="90" t="s">
        <v>288</v>
      </c>
      <c r="B3053" s="89" t="s">
        <v>4099</v>
      </c>
      <c r="C3053" s="102" t="s">
        <v>1060</v>
      </c>
    </row>
    <row r="3054" spans="1:3" ht="15">
      <c r="A3054" s="90" t="s">
        <v>288</v>
      </c>
      <c r="B3054" s="89" t="s">
        <v>4100</v>
      </c>
      <c r="C3054" s="102" t="s">
        <v>1060</v>
      </c>
    </row>
    <row r="3055" spans="1:3" ht="15">
      <c r="A3055" s="90" t="s">
        <v>288</v>
      </c>
      <c r="B3055" s="89" t="s">
        <v>4101</v>
      </c>
      <c r="C3055" s="102" t="s">
        <v>1060</v>
      </c>
    </row>
    <row r="3056" spans="1:3" ht="15">
      <c r="A3056" s="90" t="s">
        <v>288</v>
      </c>
      <c r="B3056" s="89" t="s">
        <v>4102</v>
      </c>
      <c r="C3056" s="102" t="s">
        <v>1060</v>
      </c>
    </row>
    <row r="3057" spans="1:3" ht="15">
      <c r="A3057" s="90" t="s">
        <v>288</v>
      </c>
      <c r="B3057" s="89" t="s">
        <v>712</v>
      </c>
      <c r="C3057" s="102" t="s">
        <v>1060</v>
      </c>
    </row>
    <row r="3058" spans="1:3" ht="15">
      <c r="A3058" s="90" t="s">
        <v>288</v>
      </c>
      <c r="B3058" s="89" t="s">
        <v>3137</v>
      </c>
      <c r="C3058" s="102" t="s">
        <v>1060</v>
      </c>
    </row>
    <row r="3059" spans="1:3" ht="15">
      <c r="A3059" s="90" t="s">
        <v>288</v>
      </c>
      <c r="B3059" s="89" t="s">
        <v>3618</v>
      </c>
      <c r="C3059" s="102" t="s">
        <v>1060</v>
      </c>
    </row>
    <row r="3060" spans="1:3" ht="15">
      <c r="A3060" s="90" t="s">
        <v>288</v>
      </c>
      <c r="B3060" s="89" t="s">
        <v>2833</v>
      </c>
      <c r="C3060" s="102" t="s">
        <v>1060</v>
      </c>
    </row>
    <row r="3061" spans="1:3" ht="15">
      <c r="A3061" s="90" t="s">
        <v>288</v>
      </c>
      <c r="B3061" s="89" t="s">
        <v>4103</v>
      </c>
      <c r="C3061" s="102" t="s">
        <v>1060</v>
      </c>
    </row>
    <row r="3062" spans="1:3" ht="15">
      <c r="A3062" s="90" t="s">
        <v>286</v>
      </c>
      <c r="B3062" s="89" t="s">
        <v>3307</v>
      </c>
      <c r="C3062" s="102" t="s">
        <v>1049</v>
      </c>
    </row>
    <row r="3063" spans="1:3" ht="15">
      <c r="A3063" s="90" t="s">
        <v>286</v>
      </c>
      <c r="B3063" s="89" t="s">
        <v>3152</v>
      </c>
      <c r="C3063" s="102" t="s">
        <v>1049</v>
      </c>
    </row>
    <row r="3064" spans="1:3" ht="15">
      <c r="A3064" s="90" t="s">
        <v>286</v>
      </c>
      <c r="B3064" s="89" t="s">
        <v>3141</v>
      </c>
      <c r="C3064" s="102" t="s">
        <v>1049</v>
      </c>
    </row>
    <row r="3065" spans="1:3" ht="15">
      <c r="A3065" s="90" t="s">
        <v>286</v>
      </c>
      <c r="B3065" s="89" t="s">
        <v>2678</v>
      </c>
      <c r="C3065" s="102" t="s">
        <v>1049</v>
      </c>
    </row>
    <row r="3066" spans="1:3" ht="15">
      <c r="A3066" s="90" t="s">
        <v>286</v>
      </c>
      <c r="B3066" s="89" t="s">
        <v>2676</v>
      </c>
      <c r="C3066" s="102" t="s">
        <v>1049</v>
      </c>
    </row>
    <row r="3067" spans="1:3" ht="15">
      <c r="A3067" s="90" t="s">
        <v>286</v>
      </c>
      <c r="B3067" s="89" t="s">
        <v>3308</v>
      </c>
      <c r="C3067" s="102" t="s">
        <v>1049</v>
      </c>
    </row>
    <row r="3068" spans="1:3" ht="15">
      <c r="A3068" s="90" t="s">
        <v>286</v>
      </c>
      <c r="B3068" s="89" t="s">
        <v>3205</v>
      </c>
      <c r="C3068" s="102" t="s">
        <v>1049</v>
      </c>
    </row>
    <row r="3069" spans="1:3" ht="15">
      <c r="A3069" s="90" t="s">
        <v>286</v>
      </c>
      <c r="B3069" s="89" t="s">
        <v>3155</v>
      </c>
      <c r="C3069" s="102" t="s">
        <v>1049</v>
      </c>
    </row>
    <row r="3070" spans="1:3" ht="15">
      <c r="A3070" s="90" t="s">
        <v>286</v>
      </c>
      <c r="B3070" s="89" t="s">
        <v>3309</v>
      </c>
      <c r="C3070" s="102" t="s">
        <v>1049</v>
      </c>
    </row>
    <row r="3071" spans="1:3" ht="15">
      <c r="A3071" s="90" t="s">
        <v>286</v>
      </c>
      <c r="B3071" s="89" t="s">
        <v>2679</v>
      </c>
      <c r="C3071" s="102" t="s">
        <v>1049</v>
      </c>
    </row>
    <row r="3072" spans="1:3" ht="15">
      <c r="A3072" s="90" t="s">
        <v>286</v>
      </c>
      <c r="B3072" s="89" t="s">
        <v>712</v>
      </c>
      <c r="C3072" s="102" t="s">
        <v>1049</v>
      </c>
    </row>
    <row r="3073" spans="1:3" ht="15">
      <c r="A3073" s="90" t="s">
        <v>286</v>
      </c>
      <c r="B3073" s="89" t="s">
        <v>431</v>
      </c>
      <c r="C3073" s="102" t="s">
        <v>1049</v>
      </c>
    </row>
    <row r="3074" spans="1:3" ht="15">
      <c r="A3074" s="90" t="s">
        <v>286</v>
      </c>
      <c r="B3074" s="89" t="s">
        <v>3310</v>
      </c>
      <c r="C3074" s="102" t="s">
        <v>1049</v>
      </c>
    </row>
    <row r="3075" spans="1:3" ht="15">
      <c r="A3075" s="90" t="s">
        <v>285</v>
      </c>
      <c r="B3075" s="89" t="s">
        <v>3307</v>
      </c>
      <c r="C3075" s="102" t="s">
        <v>1048</v>
      </c>
    </row>
    <row r="3076" spans="1:3" ht="15">
      <c r="A3076" s="90" t="s">
        <v>285</v>
      </c>
      <c r="B3076" s="89" t="s">
        <v>3152</v>
      </c>
      <c r="C3076" s="102" t="s">
        <v>1048</v>
      </c>
    </row>
    <row r="3077" spans="1:3" ht="15">
      <c r="A3077" s="90" t="s">
        <v>285</v>
      </c>
      <c r="B3077" s="89" t="s">
        <v>3141</v>
      </c>
      <c r="C3077" s="102" t="s">
        <v>1048</v>
      </c>
    </row>
    <row r="3078" spans="1:3" ht="15">
      <c r="A3078" s="90" t="s">
        <v>285</v>
      </c>
      <c r="B3078" s="89" t="s">
        <v>2678</v>
      </c>
      <c r="C3078" s="102" t="s">
        <v>1048</v>
      </c>
    </row>
    <row r="3079" spans="1:3" ht="15">
      <c r="A3079" s="90" t="s">
        <v>285</v>
      </c>
      <c r="B3079" s="89" t="s">
        <v>2676</v>
      </c>
      <c r="C3079" s="102" t="s">
        <v>1048</v>
      </c>
    </row>
    <row r="3080" spans="1:3" ht="15">
      <c r="A3080" s="90" t="s">
        <v>285</v>
      </c>
      <c r="B3080" s="89" t="s">
        <v>3308</v>
      </c>
      <c r="C3080" s="102" t="s">
        <v>1048</v>
      </c>
    </row>
    <row r="3081" spans="1:3" ht="15">
      <c r="A3081" s="90" t="s">
        <v>285</v>
      </c>
      <c r="B3081" s="89" t="s">
        <v>3205</v>
      </c>
      <c r="C3081" s="102" t="s">
        <v>1048</v>
      </c>
    </row>
    <row r="3082" spans="1:3" ht="15">
      <c r="A3082" s="90" t="s">
        <v>285</v>
      </c>
      <c r="B3082" s="89" t="s">
        <v>3155</v>
      </c>
      <c r="C3082" s="102" t="s">
        <v>1048</v>
      </c>
    </row>
    <row r="3083" spans="1:3" ht="15">
      <c r="A3083" s="90" t="s">
        <v>285</v>
      </c>
      <c r="B3083" s="89" t="s">
        <v>3309</v>
      </c>
      <c r="C3083" s="102" t="s">
        <v>1048</v>
      </c>
    </row>
    <row r="3084" spans="1:3" ht="15">
      <c r="A3084" s="90" t="s">
        <v>285</v>
      </c>
      <c r="B3084" s="89" t="s">
        <v>2679</v>
      </c>
      <c r="C3084" s="102" t="s">
        <v>1048</v>
      </c>
    </row>
    <row r="3085" spans="1:3" ht="15">
      <c r="A3085" s="90" t="s">
        <v>285</v>
      </c>
      <c r="B3085" s="89" t="s">
        <v>712</v>
      </c>
      <c r="C3085" s="102" t="s">
        <v>1048</v>
      </c>
    </row>
    <row r="3086" spans="1:3" ht="15">
      <c r="A3086" s="90" t="s">
        <v>285</v>
      </c>
      <c r="B3086" s="89" t="s">
        <v>431</v>
      </c>
      <c r="C3086" s="102" t="s">
        <v>1048</v>
      </c>
    </row>
    <row r="3087" spans="1:3" ht="15">
      <c r="A3087" s="90" t="s">
        <v>285</v>
      </c>
      <c r="B3087" s="89" t="s">
        <v>3310</v>
      </c>
      <c r="C3087" s="102" t="s">
        <v>1048</v>
      </c>
    </row>
    <row r="3088" spans="1:3" ht="15">
      <c r="A3088" s="90" t="s">
        <v>284</v>
      </c>
      <c r="B3088" s="89" t="s">
        <v>3307</v>
      </c>
      <c r="C3088" s="102" t="s">
        <v>1047</v>
      </c>
    </row>
    <row r="3089" spans="1:3" ht="15">
      <c r="A3089" s="90" t="s">
        <v>284</v>
      </c>
      <c r="B3089" s="89" t="s">
        <v>3152</v>
      </c>
      <c r="C3089" s="102" t="s">
        <v>1047</v>
      </c>
    </row>
    <row r="3090" spans="1:3" ht="15">
      <c r="A3090" s="90" t="s">
        <v>284</v>
      </c>
      <c r="B3090" s="89" t="s">
        <v>3141</v>
      </c>
      <c r="C3090" s="102" t="s">
        <v>1047</v>
      </c>
    </row>
    <row r="3091" spans="1:3" ht="15">
      <c r="A3091" s="90" t="s">
        <v>284</v>
      </c>
      <c r="B3091" s="89" t="s">
        <v>2678</v>
      </c>
      <c r="C3091" s="102" t="s">
        <v>1047</v>
      </c>
    </row>
    <row r="3092" spans="1:3" ht="15">
      <c r="A3092" s="90" t="s">
        <v>284</v>
      </c>
      <c r="B3092" s="89" t="s">
        <v>2676</v>
      </c>
      <c r="C3092" s="102" t="s">
        <v>1047</v>
      </c>
    </row>
    <row r="3093" spans="1:3" ht="15">
      <c r="A3093" s="90" t="s">
        <v>284</v>
      </c>
      <c r="B3093" s="89" t="s">
        <v>3308</v>
      </c>
      <c r="C3093" s="102" t="s">
        <v>1047</v>
      </c>
    </row>
    <row r="3094" spans="1:3" ht="15">
      <c r="A3094" s="90" t="s">
        <v>284</v>
      </c>
      <c r="B3094" s="89" t="s">
        <v>3205</v>
      </c>
      <c r="C3094" s="102" t="s">
        <v>1047</v>
      </c>
    </row>
    <row r="3095" spans="1:3" ht="15">
      <c r="A3095" s="90" t="s">
        <v>284</v>
      </c>
      <c r="B3095" s="89" t="s">
        <v>3155</v>
      </c>
      <c r="C3095" s="102" t="s">
        <v>1047</v>
      </c>
    </row>
    <row r="3096" spans="1:3" ht="15">
      <c r="A3096" s="90" t="s">
        <v>284</v>
      </c>
      <c r="B3096" s="89" t="s">
        <v>3309</v>
      </c>
      <c r="C3096" s="102" t="s">
        <v>1047</v>
      </c>
    </row>
    <row r="3097" spans="1:3" ht="15">
      <c r="A3097" s="90" t="s">
        <v>284</v>
      </c>
      <c r="B3097" s="89" t="s">
        <v>2679</v>
      </c>
      <c r="C3097" s="102" t="s">
        <v>1047</v>
      </c>
    </row>
    <row r="3098" spans="1:3" ht="15">
      <c r="A3098" s="90" t="s">
        <v>284</v>
      </c>
      <c r="B3098" s="89" t="s">
        <v>712</v>
      </c>
      <c r="C3098" s="102" t="s">
        <v>1047</v>
      </c>
    </row>
    <row r="3099" spans="1:3" ht="15">
      <c r="A3099" s="90" t="s">
        <v>284</v>
      </c>
      <c r="B3099" s="89" t="s">
        <v>431</v>
      </c>
      <c r="C3099" s="102" t="s">
        <v>1047</v>
      </c>
    </row>
    <row r="3100" spans="1:3" ht="15">
      <c r="A3100" s="90" t="s">
        <v>284</v>
      </c>
      <c r="B3100" s="89" t="s">
        <v>3310</v>
      </c>
      <c r="C3100" s="102" t="s">
        <v>1047</v>
      </c>
    </row>
    <row r="3101" spans="1:3" ht="15">
      <c r="A3101" s="90" t="s">
        <v>356</v>
      </c>
      <c r="B3101" s="89" t="s">
        <v>3355</v>
      </c>
      <c r="C3101" s="102" t="s">
        <v>1171</v>
      </c>
    </row>
    <row r="3102" spans="1:3" ht="15">
      <c r="A3102" s="90" t="s">
        <v>356</v>
      </c>
      <c r="B3102" s="89" t="s">
        <v>2670</v>
      </c>
      <c r="C3102" s="102" t="s">
        <v>1171</v>
      </c>
    </row>
    <row r="3103" spans="1:3" ht="15">
      <c r="A3103" s="90" t="s">
        <v>356</v>
      </c>
      <c r="B3103" s="89" t="s">
        <v>2671</v>
      </c>
      <c r="C3103" s="102" t="s">
        <v>1171</v>
      </c>
    </row>
    <row r="3104" spans="1:3" ht="15">
      <c r="A3104" s="90" t="s">
        <v>356</v>
      </c>
      <c r="B3104" s="89" t="s">
        <v>2666</v>
      </c>
      <c r="C3104" s="102" t="s">
        <v>1171</v>
      </c>
    </row>
    <row r="3105" spans="1:3" ht="15">
      <c r="A3105" s="90" t="s">
        <v>356</v>
      </c>
      <c r="B3105" s="89" t="s">
        <v>2664</v>
      </c>
      <c r="C3105" s="102" t="s">
        <v>1171</v>
      </c>
    </row>
    <row r="3106" spans="1:3" ht="15">
      <c r="A3106" s="90" t="s">
        <v>356</v>
      </c>
      <c r="B3106" s="89" t="s">
        <v>2667</v>
      </c>
      <c r="C3106" s="102" t="s">
        <v>1171</v>
      </c>
    </row>
    <row r="3107" spans="1:3" ht="15">
      <c r="A3107" s="90" t="s">
        <v>356</v>
      </c>
      <c r="B3107" s="89" t="s">
        <v>2663</v>
      </c>
      <c r="C3107" s="102" t="s">
        <v>1171</v>
      </c>
    </row>
    <row r="3108" spans="1:3" ht="15">
      <c r="A3108" s="90" t="s">
        <v>356</v>
      </c>
      <c r="B3108" s="89" t="s">
        <v>3137</v>
      </c>
      <c r="C3108" s="102" t="s">
        <v>1171</v>
      </c>
    </row>
    <row r="3109" spans="1:3" ht="15">
      <c r="A3109" s="90" t="s">
        <v>356</v>
      </c>
      <c r="B3109" s="89" t="s">
        <v>712</v>
      </c>
      <c r="C3109" s="102" t="s">
        <v>1171</v>
      </c>
    </row>
    <row r="3110" spans="1:3" ht="15">
      <c r="A3110" s="90" t="s">
        <v>356</v>
      </c>
      <c r="B3110" s="89" t="s">
        <v>3356</v>
      </c>
      <c r="C3110" s="102" t="s">
        <v>1171</v>
      </c>
    </row>
    <row r="3111" spans="1:3" ht="15">
      <c r="A3111" s="90" t="s">
        <v>356</v>
      </c>
      <c r="B3111" s="89" t="s">
        <v>2668</v>
      </c>
      <c r="C3111" s="102" t="s">
        <v>1171</v>
      </c>
    </row>
    <row r="3112" spans="1:3" ht="15">
      <c r="A3112" s="90" t="s">
        <v>356</v>
      </c>
      <c r="B3112" s="89" t="s">
        <v>3357</v>
      </c>
      <c r="C3112" s="102" t="s">
        <v>1171</v>
      </c>
    </row>
    <row r="3113" spans="1:3" ht="15">
      <c r="A3113" s="90" t="s">
        <v>356</v>
      </c>
      <c r="B3113" s="89" t="s">
        <v>2672</v>
      </c>
      <c r="C3113" s="102" t="s">
        <v>1171</v>
      </c>
    </row>
    <row r="3114" spans="1:3" ht="15">
      <c r="A3114" s="90" t="s">
        <v>356</v>
      </c>
      <c r="B3114" s="89" t="s">
        <v>2665</v>
      </c>
      <c r="C3114" s="102" t="s">
        <v>1171</v>
      </c>
    </row>
    <row r="3115" spans="1:3" ht="15">
      <c r="A3115" s="90" t="s">
        <v>338</v>
      </c>
      <c r="B3115" s="89" t="s">
        <v>3355</v>
      </c>
      <c r="C3115" s="102" t="s">
        <v>1139</v>
      </c>
    </row>
    <row r="3116" spans="1:3" ht="15">
      <c r="A3116" s="90" t="s">
        <v>338</v>
      </c>
      <c r="B3116" s="89" t="s">
        <v>2670</v>
      </c>
      <c r="C3116" s="102" t="s">
        <v>1139</v>
      </c>
    </row>
    <row r="3117" spans="1:3" ht="15">
      <c r="A3117" s="90" t="s">
        <v>338</v>
      </c>
      <c r="B3117" s="89" t="s">
        <v>2671</v>
      </c>
      <c r="C3117" s="102" t="s">
        <v>1139</v>
      </c>
    </row>
    <row r="3118" spans="1:3" ht="15">
      <c r="A3118" s="90" t="s">
        <v>338</v>
      </c>
      <c r="B3118" s="89" t="s">
        <v>2666</v>
      </c>
      <c r="C3118" s="102" t="s">
        <v>1139</v>
      </c>
    </row>
    <row r="3119" spans="1:3" ht="15">
      <c r="A3119" s="90" t="s">
        <v>338</v>
      </c>
      <c r="B3119" s="89" t="s">
        <v>2664</v>
      </c>
      <c r="C3119" s="102" t="s">
        <v>1139</v>
      </c>
    </row>
    <row r="3120" spans="1:3" ht="15">
      <c r="A3120" s="90" t="s">
        <v>338</v>
      </c>
      <c r="B3120" s="89" t="s">
        <v>2667</v>
      </c>
      <c r="C3120" s="102" t="s">
        <v>1139</v>
      </c>
    </row>
    <row r="3121" spans="1:3" ht="15">
      <c r="A3121" s="90" t="s">
        <v>338</v>
      </c>
      <c r="B3121" s="89" t="s">
        <v>2663</v>
      </c>
      <c r="C3121" s="102" t="s">
        <v>1139</v>
      </c>
    </row>
    <row r="3122" spans="1:3" ht="15">
      <c r="A3122" s="90" t="s">
        <v>338</v>
      </c>
      <c r="B3122" s="89" t="s">
        <v>3137</v>
      </c>
      <c r="C3122" s="102" t="s">
        <v>1139</v>
      </c>
    </row>
    <row r="3123" spans="1:3" ht="15">
      <c r="A3123" s="90" t="s">
        <v>338</v>
      </c>
      <c r="B3123" s="89" t="s">
        <v>712</v>
      </c>
      <c r="C3123" s="102" t="s">
        <v>1139</v>
      </c>
    </row>
    <row r="3124" spans="1:3" ht="15">
      <c r="A3124" s="90" t="s">
        <v>338</v>
      </c>
      <c r="B3124" s="89" t="s">
        <v>3356</v>
      </c>
      <c r="C3124" s="102" t="s">
        <v>1139</v>
      </c>
    </row>
    <row r="3125" spans="1:3" ht="15">
      <c r="A3125" s="90" t="s">
        <v>338</v>
      </c>
      <c r="B3125" s="89" t="s">
        <v>2668</v>
      </c>
      <c r="C3125" s="102" t="s">
        <v>1139</v>
      </c>
    </row>
    <row r="3126" spans="1:3" ht="15">
      <c r="A3126" s="90" t="s">
        <v>338</v>
      </c>
      <c r="B3126" s="89" t="s">
        <v>3357</v>
      </c>
      <c r="C3126" s="102" t="s">
        <v>1139</v>
      </c>
    </row>
    <row r="3127" spans="1:3" ht="15">
      <c r="A3127" s="90" t="s">
        <v>338</v>
      </c>
      <c r="B3127" s="89" t="s">
        <v>2672</v>
      </c>
      <c r="C3127" s="102" t="s">
        <v>1139</v>
      </c>
    </row>
    <row r="3128" spans="1:3" ht="15">
      <c r="A3128" s="90" t="s">
        <v>338</v>
      </c>
      <c r="B3128" s="89" t="s">
        <v>2665</v>
      </c>
      <c r="C3128" s="102" t="s">
        <v>1139</v>
      </c>
    </row>
    <row r="3129" spans="1:3" ht="15">
      <c r="A3129" s="90" t="s">
        <v>283</v>
      </c>
      <c r="B3129" s="89" t="s">
        <v>3355</v>
      </c>
      <c r="C3129" s="102" t="s">
        <v>1046</v>
      </c>
    </row>
    <row r="3130" spans="1:3" ht="15">
      <c r="A3130" s="90" t="s">
        <v>283</v>
      </c>
      <c r="B3130" s="89" t="s">
        <v>2670</v>
      </c>
      <c r="C3130" s="102" t="s">
        <v>1046</v>
      </c>
    </row>
    <row r="3131" spans="1:3" ht="15">
      <c r="A3131" s="90" t="s">
        <v>283</v>
      </c>
      <c r="B3131" s="89" t="s">
        <v>2671</v>
      </c>
      <c r="C3131" s="102" t="s">
        <v>1046</v>
      </c>
    </row>
    <row r="3132" spans="1:3" ht="15">
      <c r="A3132" s="90" t="s">
        <v>283</v>
      </c>
      <c r="B3132" s="89" t="s">
        <v>2666</v>
      </c>
      <c r="C3132" s="102" t="s">
        <v>1046</v>
      </c>
    </row>
    <row r="3133" spans="1:3" ht="15">
      <c r="A3133" s="90" t="s">
        <v>283</v>
      </c>
      <c r="B3133" s="89" t="s">
        <v>2664</v>
      </c>
      <c r="C3133" s="102" t="s">
        <v>1046</v>
      </c>
    </row>
    <row r="3134" spans="1:3" ht="15">
      <c r="A3134" s="90" t="s">
        <v>283</v>
      </c>
      <c r="B3134" s="89" t="s">
        <v>2667</v>
      </c>
      <c r="C3134" s="102" t="s">
        <v>1046</v>
      </c>
    </row>
    <row r="3135" spans="1:3" ht="15">
      <c r="A3135" s="90" t="s">
        <v>283</v>
      </c>
      <c r="B3135" s="89" t="s">
        <v>2663</v>
      </c>
      <c r="C3135" s="102" t="s">
        <v>1046</v>
      </c>
    </row>
    <row r="3136" spans="1:3" ht="15">
      <c r="A3136" s="90" t="s">
        <v>283</v>
      </c>
      <c r="B3136" s="89" t="s">
        <v>3137</v>
      </c>
      <c r="C3136" s="102" t="s">
        <v>1046</v>
      </c>
    </row>
    <row r="3137" spans="1:3" ht="15">
      <c r="A3137" s="90" t="s">
        <v>283</v>
      </c>
      <c r="B3137" s="89" t="s">
        <v>712</v>
      </c>
      <c r="C3137" s="102" t="s">
        <v>1046</v>
      </c>
    </row>
    <row r="3138" spans="1:3" ht="15">
      <c r="A3138" s="90" t="s">
        <v>283</v>
      </c>
      <c r="B3138" s="89" t="s">
        <v>3356</v>
      </c>
      <c r="C3138" s="102" t="s">
        <v>1046</v>
      </c>
    </row>
    <row r="3139" spans="1:3" ht="15">
      <c r="A3139" s="90" t="s">
        <v>283</v>
      </c>
      <c r="B3139" s="89" t="s">
        <v>2668</v>
      </c>
      <c r="C3139" s="102" t="s">
        <v>1046</v>
      </c>
    </row>
    <row r="3140" spans="1:3" ht="15">
      <c r="A3140" s="90" t="s">
        <v>283</v>
      </c>
      <c r="B3140" s="89" t="s">
        <v>3357</v>
      </c>
      <c r="C3140" s="102" t="s">
        <v>1046</v>
      </c>
    </row>
    <row r="3141" spans="1:3" ht="15">
      <c r="A3141" s="90" t="s">
        <v>283</v>
      </c>
      <c r="B3141" s="89" t="s">
        <v>2672</v>
      </c>
      <c r="C3141" s="102" t="s">
        <v>1046</v>
      </c>
    </row>
    <row r="3142" spans="1:3" ht="15">
      <c r="A3142" s="90" t="s">
        <v>283</v>
      </c>
      <c r="B3142" s="89" t="s">
        <v>2665</v>
      </c>
      <c r="C3142" s="102" t="s">
        <v>1046</v>
      </c>
    </row>
    <row r="3143" spans="1:3" ht="15">
      <c r="A3143" s="90" t="s">
        <v>282</v>
      </c>
      <c r="B3143" s="89" t="s">
        <v>3472</v>
      </c>
      <c r="C3143" s="102" t="s">
        <v>1044</v>
      </c>
    </row>
    <row r="3144" spans="1:3" ht="15">
      <c r="A3144" s="90" t="s">
        <v>282</v>
      </c>
      <c r="B3144" s="89" t="s">
        <v>4104</v>
      </c>
      <c r="C3144" s="102" t="s">
        <v>1044</v>
      </c>
    </row>
    <row r="3145" spans="1:3" ht="15">
      <c r="A3145" s="90" t="s">
        <v>282</v>
      </c>
      <c r="B3145" s="89" t="s">
        <v>4105</v>
      </c>
      <c r="C3145" s="102" t="s">
        <v>1044</v>
      </c>
    </row>
    <row r="3146" spans="1:3" ht="15">
      <c r="A3146" s="90" t="s">
        <v>282</v>
      </c>
      <c r="B3146" s="89" t="s">
        <v>4106</v>
      </c>
      <c r="C3146" s="102" t="s">
        <v>1044</v>
      </c>
    </row>
    <row r="3147" spans="1:3" ht="15">
      <c r="A3147" s="90" t="s">
        <v>282</v>
      </c>
      <c r="B3147" s="89" t="s">
        <v>3141</v>
      </c>
      <c r="C3147" s="102" t="s">
        <v>1044</v>
      </c>
    </row>
    <row r="3148" spans="1:3" ht="15">
      <c r="A3148" s="90" t="s">
        <v>282</v>
      </c>
      <c r="B3148" s="89" t="s">
        <v>3165</v>
      </c>
      <c r="C3148" s="102" t="s">
        <v>1044</v>
      </c>
    </row>
    <row r="3149" spans="1:3" ht="15">
      <c r="A3149" s="90" t="s">
        <v>282</v>
      </c>
      <c r="B3149" s="89" t="s">
        <v>4107</v>
      </c>
      <c r="C3149" s="102" t="s">
        <v>1044</v>
      </c>
    </row>
    <row r="3150" spans="1:3" ht="15">
      <c r="A3150" s="90" t="s">
        <v>282</v>
      </c>
      <c r="B3150" s="89" t="s">
        <v>4108</v>
      </c>
      <c r="C3150" s="102" t="s">
        <v>1044</v>
      </c>
    </row>
    <row r="3151" spans="1:3" ht="15">
      <c r="A3151" s="90" t="s">
        <v>282</v>
      </c>
      <c r="B3151" s="89" t="s">
        <v>3356</v>
      </c>
      <c r="C3151" s="102" t="s">
        <v>1044</v>
      </c>
    </row>
    <row r="3152" spans="1:3" ht="15">
      <c r="A3152" s="90" t="s">
        <v>282</v>
      </c>
      <c r="B3152" s="89" t="s">
        <v>4109</v>
      </c>
      <c r="C3152" s="102" t="s">
        <v>1044</v>
      </c>
    </row>
    <row r="3153" spans="1:3" ht="15">
      <c r="A3153" s="90" t="s">
        <v>282</v>
      </c>
      <c r="B3153" s="89" t="s">
        <v>4110</v>
      </c>
      <c r="C3153" s="102" t="s">
        <v>1044</v>
      </c>
    </row>
    <row r="3154" spans="1:3" ht="15">
      <c r="A3154" s="90" t="s">
        <v>282</v>
      </c>
      <c r="B3154" s="89" t="s">
        <v>4111</v>
      </c>
      <c r="C3154" s="102" t="s">
        <v>1044</v>
      </c>
    </row>
    <row r="3155" spans="1:3" ht="15">
      <c r="A3155" s="90" t="s">
        <v>282</v>
      </c>
      <c r="B3155" s="89" t="s">
        <v>4112</v>
      </c>
      <c r="C3155" s="102" t="s">
        <v>1044</v>
      </c>
    </row>
    <row r="3156" spans="1:3" ht="15">
      <c r="A3156" s="90" t="s">
        <v>282</v>
      </c>
      <c r="B3156" s="89" t="s">
        <v>3342</v>
      </c>
      <c r="C3156" s="102" t="s">
        <v>1044</v>
      </c>
    </row>
    <row r="3157" spans="1:3" ht="15">
      <c r="A3157" s="90" t="s">
        <v>282</v>
      </c>
      <c r="B3157" s="89" t="s">
        <v>4113</v>
      </c>
      <c r="C3157" s="102" t="s">
        <v>1044</v>
      </c>
    </row>
    <row r="3158" spans="1:3" ht="15">
      <c r="A3158" s="90" t="s">
        <v>282</v>
      </c>
      <c r="B3158" s="89" t="s">
        <v>3346</v>
      </c>
      <c r="C3158" s="102" t="s">
        <v>1044</v>
      </c>
    </row>
    <row r="3159" spans="1:3" ht="15">
      <c r="A3159" s="90" t="s">
        <v>282</v>
      </c>
      <c r="B3159" s="89" t="s">
        <v>4114</v>
      </c>
      <c r="C3159" s="102" t="s">
        <v>1044</v>
      </c>
    </row>
    <row r="3160" spans="1:3" ht="15">
      <c r="A3160" s="90" t="s">
        <v>282</v>
      </c>
      <c r="B3160" s="89">
        <v>1</v>
      </c>
      <c r="C3160" s="102" t="s">
        <v>1044</v>
      </c>
    </row>
    <row r="3161" spans="1:3" ht="15">
      <c r="A3161" s="90" t="s">
        <v>282</v>
      </c>
      <c r="B3161" s="89">
        <v>4</v>
      </c>
      <c r="C3161" s="102" t="s">
        <v>1044</v>
      </c>
    </row>
    <row r="3162" spans="1:3" ht="15">
      <c r="A3162" s="90" t="s">
        <v>282</v>
      </c>
      <c r="B3162" s="89" t="s">
        <v>4115</v>
      </c>
      <c r="C3162" s="102" t="s">
        <v>1044</v>
      </c>
    </row>
    <row r="3163" spans="1:3" ht="15">
      <c r="A3163" s="90" t="s">
        <v>282</v>
      </c>
      <c r="B3163" s="89" t="s">
        <v>4116</v>
      </c>
      <c r="C3163" s="102" t="s">
        <v>1044</v>
      </c>
    </row>
    <row r="3164" spans="1:3" ht="15">
      <c r="A3164" s="90" t="s">
        <v>282</v>
      </c>
      <c r="B3164" s="89" t="s">
        <v>4117</v>
      </c>
      <c r="C3164" s="102" t="s">
        <v>1044</v>
      </c>
    </row>
    <row r="3165" spans="1:3" ht="15">
      <c r="A3165" s="90" t="s">
        <v>282</v>
      </c>
      <c r="B3165" s="89" t="s">
        <v>4118</v>
      </c>
      <c r="C3165" s="102" t="s">
        <v>1044</v>
      </c>
    </row>
    <row r="3166" spans="1:3" ht="15">
      <c r="A3166" s="90" t="s">
        <v>282</v>
      </c>
      <c r="B3166" s="89" t="s">
        <v>4119</v>
      </c>
      <c r="C3166" s="102" t="s">
        <v>1044</v>
      </c>
    </row>
    <row r="3167" spans="1:3" ht="15">
      <c r="A3167" s="90" t="s">
        <v>282</v>
      </c>
      <c r="B3167" s="89" t="s">
        <v>4120</v>
      </c>
      <c r="C3167" s="102" t="s">
        <v>1044</v>
      </c>
    </row>
    <row r="3168" spans="1:3" ht="15">
      <c r="A3168" s="90" t="s">
        <v>282</v>
      </c>
      <c r="B3168" s="89" t="s">
        <v>3137</v>
      </c>
      <c r="C3168" s="102" t="s">
        <v>1044</v>
      </c>
    </row>
    <row r="3169" spans="1:3" ht="15">
      <c r="A3169" s="90" t="s">
        <v>282</v>
      </c>
      <c r="B3169" s="89" t="s">
        <v>4121</v>
      </c>
      <c r="C3169" s="102" t="s">
        <v>1044</v>
      </c>
    </row>
    <row r="3170" spans="1:3" ht="15">
      <c r="A3170" s="90" t="s">
        <v>282</v>
      </c>
      <c r="B3170" s="89" t="s">
        <v>3025</v>
      </c>
      <c r="C3170" s="102" t="s">
        <v>1044</v>
      </c>
    </row>
    <row r="3171" spans="1:3" ht="15">
      <c r="A3171" s="90" t="s">
        <v>282</v>
      </c>
      <c r="B3171" s="89" t="s">
        <v>2663</v>
      </c>
      <c r="C3171" s="102" t="s">
        <v>1044</v>
      </c>
    </row>
    <row r="3172" spans="1:3" ht="15">
      <c r="A3172" s="90" t="s">
        <v>282</v>
      </c>
      <c r="B3172" s="89" t="s">
        <v>712</v>
      </c>
      <c r="C3172" s="102" t="s">
        <v>1044</v>
      </c>
    </row>
    <row r="3173" spans="1:3" ht="15">
      <c r="A3173" s="90" t="s">
        <v>282</v>
      </c>
      <c r="B3173" s="89" t="s">
        <v>4122</v>
      </c>
      <c r="C3173" s="102" t="s">
        <v>1044</v>
      </c>
    </row>
    <row r="3174" spans="1:3" ht="15">
      <c r="A3174" s="90" t="s">
        <v>282</v>
      </c>
      <c r="B3174" s="89" t="s">
        <v>4123</v>
      </c>
      <c r="C3174" s="102" t="s">
        <v>1044</v>
      </c>
    </row>
    <row r="3175" spans="1:3" ht="15">
      <c r="A3175" s="90" t="s">
        <v>282</v>
      </c>
      <c r="B3175" s="89" t="s">
        <v>3311</v>
      </c>
      <c r="C3175" s="102" t="s">
        <v>1045</v>
      </c>
    </row>
    <row r="3176" spans="1:3" ht="15">
      <c r="A3176" s="90" t="s">
        <v>282</v>
      </c>
      <c r="B3176" s="89" t="s">
        <v>3312</v>
      </c>
      <c r="C3176" s="102" t="s">
        <v>1045</v>
      </c>
    </row>
    <row r="3177" spans="1:3" ht="15">
      <c r="A3177" s="90" t="s">
        <v>282</v>
      </c>
      <c r="B3177" s="89" t="s">
        <v>2687</v>
      </c>
      <c r="C3177" s="102" t="s">
        <v>1045</v>
      </c>
    </row>
    <row r="3178" spans="1:3" ht="15">
      <c r="A3178" s="90" t="s">
        <v>282</v>
      </c>
      <c r="B3178" s="89" t="s">
        <v>2688</v>
      </c>
      <c r="C3178" s="102" t="s">
        <v>1045</v>
      </c>
    </row>
    <row r="3179" spans="1:3" ht="15">
      <c r="A3179" s="90" t="s">
        <v>282</v>
      </c>
      <c r="B3179" s="89" t="s">
        <v>2689</v>
      </c>
      <c r="C3179" s="102" t="s">
        <v>1045</v>
      </c>
    </row>
    <row r="3180" spans="1:3" ht="15">
      <c r="A3180" s="90" t="s">
        <v>282</v>
      </c>
      <c r="B3180" s="89" t="s">
        <v>2690</v>
      </c>
      <c r="C3180" s="102" t="s">
        <v>1045</v>
      </c>
    </row>
    <row r="3181" spans="1:3" ht="15">
      <c r="A3181" s="90" t="s">
        <v>282</v>
      </c>
      <c r="B3181" s="89" t="s">
        <v>2691</v>
      </c>
      <c r="C3181" s="102" t="s">
        <v>1045</v>
      </c>
    </row>
    <row r="3182" spans="1:3" ht="15">
      <c r="A3182" s="90" t="s">
        <v>282</v>
      </c>
      <c r="B3182" s="89" t="s">
        <v>2692</v>
      </c>
      <c r="C3182" s="102" t="s">
        <v>1045</v>
      </c>
    </row>
    <row r="3183" spans="1:3" ht="15">
      <c r="A3183" s="90" t="s">
        <v>282</v>
      </c>
      <c r="B3183" s="89" t="s">
        <v>2693</v>
      </c>
      <c r="C3183" s="102" t="s">
        <v>1045</v>
      </c>
    </row>
    <row r="3184" spans="1:3" ht="15">
      <c r="A3184" s="90" t="s">
        <v>282</v>
      </c>
      <c r="B3184" s="89" t="s">
        <v>3313</v>
      </c>
      <c r="C3184" s="102" t="s">
        <v>1045</v>
      </c>
    </row>
    <row r="3185" spans="1:3" ht="15">
      <c r="A3185" s="90" t="s">
        <v>282</v>
      </c>
      <c r="B3185" s="89" t="s">
        <v>2694</v>
      </c>
      <c r="C3185" s="102" t="s">
        <v>1045</v>
      </c>
    </row>
    <row r="3186" spans="1:3" ht="15">
      <c r="A3186" s="90" t="s">
        <v>282</v>
      </c>
      <c r="B3186" s="89" t="s">
        <v>3137</v>
      </c>
      <c r="C3186" s="102" t="s">
        <v>1045</v>
      </c>
    </row>
    <row r="3187" spans="1:3" ht="15">
      <c r="A3187" s="90" t="s">
        <v>282</v>
      </c>
      <c r="B3187" s="89" t="s">
        <v>2695</v>
      </c>
      <c r="C3187" s="102" t="s">
        <v>1045</v>
      </c>
    </row>
    <row r="3188" spans="1:3" ht="15">
      <c r="A3188" s="90" t="s">
        <v>282</v>
      </c>
      <c r="B3188" s="89" t="s">
        <v>2696</v>
      </c>
      <c r="C3188" s="102" t="s">
        <v>1045</v>
      </c>
    </row>
    <row r="3189" spans="1:3" ht="15">
      <c r="A3189" s="90" t="s">
        <v>282</v>
      </c>
      <c r="B3189" s="89" t="s">
        <v>3314</v>
      </c>
      <c r="C3189" s="102" t="s">
        <v>1045</v>
      </c>
    </row>
    <row r="3190" spans="1:3" ht="15">
      <c r="A3190" s="90" t="s">
        <v>282</v>
      </c>
      <c r="B3190" s="89" t="s">
        <v>712</v>
      </c>
      <c r="C3190" s="102" t="s">
        <v>1045</v>
      </c>
    </row>
    <row r="3191" spans="1:3" ht="15">
      <c r="A3191" s="90" t="s">
        <v>282</v>
      </c>
      <c r="B3191" s="89" t="s">
        <v>3315</v>
      </c>
      <c r="C3191" s="102" t="s">
        <v>1045</v>
      </c>
    </row>
    <row r="3192" spans="1:3" ht="15">
      <c r="A3192" s="90" t="s">
        <v>282</v>
      </c>
      <c r="B3192" s="89" t="s">
        <v>2699</v>
      </c>
      <c r="C3192" s="102" t="s">
        <v>1045</v>
      </c>
    </row>
    <row r="3193" spans="1:3" ht="15">
      <c r="A3193" s="90" t="s">
        <v>282</v>
      </c>
      <c r="B3193" s="89" t="s">
        <v>2700</v>
      </c>
      <c r="C3193" s="102" t="s">
        <v>1045</v>
      </c>
    </row>
    <row r="3194" spans="1:3" ht="15">
      <c r="A3194" s="90" t="s">
        <v>282</v>
      </c>
      <c r="B3194" s="89" t="s">
        <v>2701</v>
      </c>
      <c r="C3194" s="102" t="s">
        <v>1045</v>
      </c>
    </row>
    <row r="3195" spans="1:3" ht="15">
      <c r="A3195" s="90" t="s">
        <v>282</v>
      </c>
      <c r="B3195" s="89" t="s">
        <v>3316</v>
      </c>
      <c r="C3195" s="102" t="s">
        <v>1045</v>
      </c>
    </row>
    <row r="3196" spans="1:3" ht="15">
      <c r="A3196" s="90" t="s">
        <v>282</v>
      </c>
      <c r="B3196" s="89" t="s">
        <v>2680</v>
      </c>
      <c r="C3196" s="102" t="s">
        <v>1045</v>
      </c>
    </row>
    <row r="3197" spans="1:3" ht="15">
      <c r="A3197" s="90" t="s">
        <v>282</v>
      </c>
      <c r="B3197" s="89" t="s">
        <v>2702</v>
      </c>
      <c r="C3197" s="102" t="s">
        <v>1045</v>
      </c>
    </row>
    <row r="3198" spans="1:3" ht="15">
      <c r="A3198" s="90" t="s">
        <v>282</v>
      </c>
      <c r="B3198" s="89" t="s">
        <v>2703</v>
      </c>
      <c r="C3198" s="102" t="s">
        <v>1045</v>
      </c>
    </row>
    <row r="3199" spans="1:3" ht="15">
      <c r="A3199" s="90" t="s">
        <v>282</v>
      </c>
      <c r="B3199" s="89" t="s">
        <v>3317</v>
      </c>
      <c r="C3199" s="102" t="s">
        <v>1045</v>
      </c>
    </row>
    <row r="3200" spans="1:3" ht="15">
      <c r="A3200" s="90" t="s">
        <v>282</v>
      </c>
      <c r="B3200" s="89" t="s">
        <v>3318</v>
      </c>
      <c r="C3200" s="102" t="s">
        <v>1045</v>
      </c>
    </row>
    <row r="3201" spans="1:3" ht="15">
      <c r="A3201" s="90" t="s">
        <v>282</v>
      </c>
      <c r="B3201" s="89" t="s">
        <v>226</v>
      </c>
      <c r="C3201" s="102" t="s">
        <v>1045</v>
      </c>
    </row>
    <row r="3202" spans="1:3" ht="15">
      <c r="A3202" s="90" t="s">
        <v>281</v>
      </c>
      <c r="B3202" s="89" t="s">
        <v>4124</v>
      </c>
      <c r="C3202" s="102" t="s">
        <v>1043</v>
      </c>
    </row>
    <row r="3203" spans="1:3" ht="15">
      <c r="A3203" s="90" t="s">
        <v>281</v>
      </c>
      <c r="B3203" s="89" t="s">
        <v>3275</v>
      </c>
      <c r="C3203" s="102" t="s">
        <v>1043</v>
      </c>
    </row>
    <row r="3204" spans="1:3" ht="15">
      <c r="A3204" s="90" t="s">
        <v>281</v>
      </c>
      <c r="B3204" s="89" t="s">
        <v>3784</v>
      </c>
      <c r="C3204" s="102" t="s">
        <v>1043</v>
      </c>
    </row>
    <row r="3205" spans="1:3" ht="15">
      <c r="A3205" s="90" t="s">
        <v>281</v>
      </c>
      <c r="B3205" s="89" t="s">
        <v>3141</v>
      </c>
      <c r="C3205" s="102" t="s">
        <v>1043</v>
      </c>
    </row>
    <row r="3206" spans="1:3" ht="15">
      <c r="A3206" s="90" t="s">
        <v>281</v>
      </c>
      <c r="B3206" s="89" t="s">
        <v>3648</v>
      </c>
      <c r="C3206" s="102" t="s">
        <v>1043</v>
      </c>
    </row>
    <row r="3207" spans="1:3" ht="15">
      <c r="A3207" s="90" t="s">
        <v>281</v>
      </c>
      <c r="B3207" s="89" t="s">
        <v>3137</v>
      </c>
      <c r="C3207" s="102" t="s">
        <v>1043</v>
      </c>
    </row>
    <row r="3208" spans="1:3" ht="15">
      <c r="A3208" s="90" t="s">
        <v>281</v>
      </c>
      <c r="B3208" s="89" t="s">
        <v>3347</v>
      </c>
      <c r="C3208" s="102" t="s">
        <v>1043</v>
      </c>
    </row>
    <row r="3209" spans="1:3" ht="15">
      <c r="A3209" s="90" t="s">
        <v>281</v>
      </c>
      <c r="B3209" s="89" t="s">
        <v>3169</v>
      </c>
      <c r="C3209" s="102" t="s">
        <v>1043</v>
      </c>
    </row>
    <row r="3210" spans="1:3" ht="15">
      <c r="A3210" s="90" t="s">
        <v>281</v>
      </c>
      <c r="B3210" s="89" t="s">
        <v>2665</v>
      </c>
      <c r="C3210" s="102" t="s">
        <v>1043</v>
      </c>
    </row>
    <row r="3211" spans="1:3" ht="15">
      <c r="A3211" s="90" t="s">
        <v>281</v>
      </c>
      <c r="B3211" s="89" t="s">
        <v>712</v>
      </c>
      <c r="C3211" s="102" t="s">
        <v>1043</v>
      </c>
    </row>
    <row r="3212" spans="1:3" ht="15">
      <c r="A3212" s="90" t="s">
        <v>281</v>
      </c>
      <c r="B3212" s="89" t="s">
        <v>4125</v>
      </c>
      <c r="C3212" s="102" t="s">
        <v>1043</v>
      </c>
    </row>
    <row r="3213" spans="1:3" ht="15">
      <c r="A3213" s="90" t="s">
        <v>281</v>
      </c>
      <c r="B3213" s="89" t="s">
        <v>2708</v>
      </c>
      <c r="C3213" s="102" t="s">
        <v>1043</v>
      </c>
    </row>
    <row r="3214" spans="1:3" ht="15">
      <c r="A3214" s="90" t="s">
        <v>281</v>
      </c>
      <c r="B3214" s="89" t="s">
        <v>3378</v>
      </c>
      <c r="C3214" s="102" t="s">
        <v>1043</v>
      </c>
    </row>
    <row r="3215" spans="1:3" ht="15">
      <c r="A3215" s="90" t="s">
        <v>281</v>
      </c>
      <c r="B3215" s="89" t="s">
        <v>2900</v>
      </c>
      <c r="C3215" s="102" t="s">
        <v>1043</v>
      </c>
    </row>
    <row r="3216" spans="1:3" ht="15">
      <c r="A3216" s="90" t="s">
        <v>281</v>
      </c>
      <c r="B3216" s="89" t="s">
        <v>3173</v>
      </c>
      <c r="C3216" s="102" t="s">
        <v>1043</v>
      </c>
    </row>
    <row r="3217" spans="1:3" ht="15">
      <c r="A3217" s="90" t="s">
        <v>281</v>
      </c>
      <c r="B3217" s="89" t="s">
        <v>4126</v>
      </c>
      <c r="C3217" s="102" t="s">
        <v>1043</v>
      </c>
    </row>
    <row r="3218" spans="1:3" ht="15">
      <c r="A3218" s="90" t="s">
        <v>281</v>
      </c>
      <c r="B3218" s="89" t="s">
        <v>4127</v>
      </c>
      <c r="C3218" s="102" t="s">
        <v>1043</v>
      </c>
    </row>
    <row r="3219" spans="1:3" ht="15">
      <c r="A3219" s="90" t="s">
        <v>281</v>
      </c>
      <c r="B3219" s="89" t="s">
        <v>4128</v>
      </c>
      <c r="C3219" s="102" t="s">
        <v>1043</v>
      </c>
    </row>
    <row r="3220" spans="1:3" ht="15">
      <c r="A3220" s="90" t="s">
        <v>281</v>
      </c>
      <c r="B3220" s="89" t="s">
        <v>4129</v>
      </c>
      <c r="C3220" s="102" t="s">
        <v>1043</v>
      </c>
    </row>
    <row r="3221" spans="1:3" ht="15">
      <c r="A3221" s="90" t="s">
        <v>281</v>
      </c>
      <c r="B3221" s="89" t="s">
        <v>4130</v>
      </c>
      <c r="C3221" s="102" t="s">
        <v>1043</v>
      </c>
    </row>
    <row r="3222" spans="1:3" ht="15">
      <c r="A3222" s="90" t="s">
        <v>281</v>
      </c>
      <c r="B3222" s="89" t="s">
        <v>4131</v>
      </c>
      <c r="C3222" s="102" t="s">
        <v>1043</v>
      </c>
    </row>
    <row r="3223" spans="1:3" ht="15">
      <c r="A3223" s="90" t="s">
        <v>281</v>
      </c>
      <c r="B3223" s="89" t="s">
        <v>3912</v>
      </c>
      <c r="C3223" s="102" t="s">
        <v>1043</v>
      </c>
    </row>
    <row r="3224" spans="1:3" ht="15">
      <c r="A3224" s="90" t="s">
        <v>338</v>
      </c>
      <c r="B3224" s="89" t="s">
        <v>3681</v>
      </c>
      <c r="C3224" s="102" t="s">
        <v>1134</v>
      </c>
    </row>
    <row r="3225" spans="1:3" ht="15">
      <c r="A3225" s="90" t="s">
        <v>338</v>
      </c>
      <c r="B3225" s="89" t="s">
        <v>3682</v>
      </c>
      <c r="C3225" s="102" t="s">
        <v>1134</v>
      </c>
    </row>
    <row r="3226" spans="1:3" ht="15">
      <c r="A3226" s="90" t="s">
        <v>338</v>
      </c>
      <c r="B3226" s="89" t="s">
        <v>3141</v>
      </c>
      <c r="C3226" s="102" t="s">
        <v>1134</v>
      </c>
    </row>
    <row r="3227" spans="1:3" ht="15">
      <c r="A3227" s="90" t="s">
        <v>338</v>
      </c>
      <c r="B3227" s="89" t="s">
        <v>3201</v>
      </c>
      <c r="C3227" s="102" t="s">
        <v>1134</v>
      </c>
    </row>
    <row r="3228" spans="1:3" ht="15">
      <c r="A3228" s="90" t="s">
        <v>338</v>
      </c>
      <c r="B3228" s="89" t="s">
        <v>2682</v>
      </c>
      <c r="C3228" s="102" t="s">
        <v>1134</v>
      </c>
    </row>
    <row r="3229" spans="1:3" ht="15">
      <c r="A3229" s="90" t="s">
        <v>338</v>
      </c>
      <c r="B3229" s="89" t="s">
        <v>2720</v>
      </c>
      <c r="C3229" s="102" t="s">
        <v>1134</v>
      </c>
    </row>
    <row r="3230" spans="1:3" ht="15">
      <c r="A3230" s="90" t="s">
        <v>338</v>
      </c>
      <c r="B3230" s="89" t="s">
        <v>3683</v>
      </c>
      <c r="C3230" s="102" t="s">
        <v>1134</v>
      </c>
    </row>
    <row r="3231" spans="1:3" ht="15">
      <c r="A3231" s="90" t="s">
        <v>338</v>
      </c>
      <c r="B3231" s="89" t="s">
        <v>2721</v>
      </c>
      <c r="C3231" s="102" t="s">
        <v>1134</v>
      </c>
    </row>
    <row r="3232" spans="1:3" ht="15">
      <c r="A3232" s="90" t="s">
        <v>338</v>
      </c>
      <c r="B3232" s="89" t="s">
        <v>3684</v>
      </c>
      <c r="C3232" s="102" t="s">
        <v>1134</v>
      </c>
    </row>
    <row r="3233" spans="1:3" ht="15">
      <c r="A3233" s="90" t="s">
        <v>338</v>
      </c>
      <c r="B3233" s="89" t="s">
        <v>2723</v>
      </c>
      <c r="C3233" s="102" t="s">
        <v>1134</v>
      </c>
    </row>
    <row r="3234" spans="1:3" ht="15">
      <c r="A3234" s="90" t="s">
        <v>338</v>
      </c>
      <c r="B3234" s="89" t="s">
        <v>2724</v>
      </c>
      <c r="C3234" s="102" t="s">
        <v>1134</v>
      </c>
    </row>
    <row r="3235" spans="1:3" ht="15">
      <c r="A3235" s="90" t="s">
        <v>338</v>
      </c>
      <c r="B3235" s="89" t="s">
        <v>3685</v>
      </c>
      <c r="C3235" s="102" t="s">
        <v>1134</v>
      </c>
    </row>
    <row r="3236" spans="1:3" ht="15">
      <c r="A3236" s="90" t="s">
        <v>338</v>
      </c>
      <c r="B3236" s="89" t="s">
        <v>3355</v>
      </c>
      <c r="C3236" s="102" t="s">
        <v>1134</v>
      </c>
    </row>
    <row r="3237" spans="1:3" ht="15">
      <c r="A3237" s="90" t="s">
        <v>338</v>
      </c>
      <c r="B3237" s="89" t="s">
        <v>2670</v>
      </c>
      <c r="C3237" s="102" t="s">
        <v>1134</v>
      </c>
    </row>
    <row r="3238" spans="1:3" ht="15">
      <c r="A3238" s="90" t="s">
        <v>338</v>
      </c>
      <c r="B3238" s="89" t="s">
        <v>2671</v>
      </c>
      <c r="C3238" s="102" t="s">
        <v>1134</v>
      </c>
    </row>
    <row r="3239" spans="1:3" ht="15">
      <c r="A3239" s="90" t="s">
        <v>338</v>
      </c>
      <c r="B3239" s="89" t="s">
        <v>2666</v>
      </c>
      <c r="C3239" s="102" t="s">
        <v>1134</v>
      </c>
    </row>
    <row r="3240" spans="1:3" ht="15">
      <c r="A3240" s="90" t="s">
        <v>338</v>
      </c>
      <c r="B3240" s="89" t="s">
        <v>2664</v>
      </c>
      <c r="C3240" s="102" t="s">
        <v>1134</v>
      </c>
    </row>
    <row r="3241" spans="1:3" ht="15">
      <c r="A3241" s="90" t="s">
        <v>338</v>
      </c>
      <c r="B3241" s="89" t="s">
        <v>2667</v>
      </c>
      <c r="C3241" s="102" t="s">
        <v>1134</v>
      </c>
    </row>
    <row r="3242" spans="1:3" ht="15">
      <c r="A3242" s="90" t="s">
        <v>338</v>
      </c>
      <c r="B3242" s="89" t="s">
        <v>2663</v>
      </c>
      <c r="C3242" s="102" t="s">
        <v>1134</v>
      </c>
    </row>
    <row r="3243" spans="1:3" ht="15">
      <c r="A3243" s="90" t="s">
        <v>338</v>
      </c>
      <c r="B3243" s="89" t="s">
        <v>3137</v>
      </c>
      <c r="C3243" s="102" t="s">
        <v>1134</v>
      </c>
    </row>
    <row r="3244" spans="1:3" ht="15">
      <c r="A3244" s="90" t="s">
        <v>338</v>
      </c>
      <c r="B3244" s="89" t="s">
        <v>712</v>
      </c>
      <c r="C3244" s="102" t="s">
        <v>1134</v>
      </c>
    </row>
    <row r="3245" spans="1:3" ht="15">
      <c r="A3245" s="90" t="s">
        <v>338</v>
      </c>
      <c r="B3245" s="89" t="s">
        <v>3356</v>
      </c>
      <c r="C3245" s="102" t="s">
        <v>1134</v>
      </c>
    </row>
    <row r="3246" spans="1:3" ht="15">
      <c r="A3246" s="90" t="s">
        <v>338</v>
      </c>
      <c r="B3246" s="89" t="s">
        <v>2668</v>
      </c>
      <c r="C3246" s="102" t="s">
        <v>1134</v>
      </c>
    </row>
    <row r="3247" spans="1:3" ht="15">
      <c r="A3247" s="90" t="s">
        <v>338</v>
      </c>
      <c r="B3247" s="89" t="s">
        <v>3357</v>
      </c>
      <c r="C3247" s="102" t="s">
        <v>1134</v>
      </c>
    </row>
    <row r="3248" spans="1:3" ht="15">
      <c r="A3248" s="90" t="s">
        <v>338</v>
      </c>
      <c r="B3248" s="89" t="s">
        <v>2672</v>
      </c>
      <c r="C3248" s="102" t="s">
        <v>1134</v>
      </c>
    </row>
    <row r="3249" spans="1:3" ht="15">
      <c r="A3249" s="90" t="s">
        <v>338</v>
      </c>
      <c r="B3249" s="89" t="s">
        <v>2665</v>
      </c>
      <c r="C3249" s="102" t="s">
        <v>1134</v>
      </c>
    </row>
    <row r="3250" spans="1:3" ht="15">
      <c r="A3250" s="90" t="s">
        <v>281</v>
      </c>
      <c r="B3250" s="89" t="s">
        <v>3681</v>
      </c>
      <c r="C3250" s="102" t="s">
        <v>1132</v>
      </c>
    </row>
    <row r="3251" spans="1:3" ht="15">
      <c r="A3251" s="90" t="s">
        <v>281</v>
      </c>
      <c r="B3251" s="89" t="s">
        <v>3682</v>
      </c>
      <c r="C3251" s="102" t="s">
        <v>1132</v>
      </c>
    </row>
    <row r="3252" spans="1:3" ht="15">
      <c r="A3252" s="90" t="s">
        <v>281</v>
      </c>
      <c r="B3252" s="89" t="s">
        <v>3141</v>
      </c>
      <c r="C3252" s="102" t="s">
        <v>1132</v>
      </c>
    </row>
    <row r="3253" spans="1:3" ht="15">
      <c r="A3253" s="90" t="s">
        <v>281</v>
      </c>
      <c r="B3253" s="89" t="s">
        <v>3201</v>
      </c>
      <c r="C3253" s="102" t="s">
        <v>1132</v>
      </c>
    </row>
    <row r="3254" spans="1:3" ht="15">
      <c r="A3254" s="90" t="s">
        <v>281</v>
      </c>
      <c r="B3254" s="89" t="s">
        <v>2682</v>
      </c>
      <c r="C3254" s="102" t="s">
        <v>1132</v>
      </c>
    </row>
    <row r="3255" spans="1:3" ht="15">
      <c r="A3255" s="90" t="s">
        <v>281</v>
      </c>
      <c r="B3255" s="89" t="s">
        <v>2720</v>
      </c>
      <c r="C3255" s="102" t="s">
        <v>1132</v>
      </c>
    </row>
    <row r="3256" spans="1:3" ht="15">
      <c r="A3256" s="90" t="s">
        <v>281</v>
      </c>
      <c r="B3256" s="89" t="s">
        <v>3683</v>
      </c>
      <c r="C3256" s="102" t="s">
        <v>1132</v>
      </c>
    </row>
    <row r="3257" spans="1:3" ht="15">
      <c r="A3257" s="90" t="s">
        <v>281</v>
      </c>
      <c r="B3257" s="89" t="s">
        <v>2721</v>
      </c>
      <c r="C3257" s="102" t="s">
        <v>1132</v>
      </c>
    </row>
    <row r="3258" spans="1:3" ht="15">
      <c r="A3258" s="90" t="s">
        <v>281</v>
      </c>
      <c r="B3258" s="89" t="s">
        <v>3684</v>
      </c>
      <c r="C3258" s="102" t="s">
        <v>1132</v>
      </c>
    </row>
    <row r="3259" spans="1:3" ht="15">
      <c r="A3259" s="90" t="s">
        <v>281</v>
      </c>
      <c r="B3259" s="89" t="s">
        <v>2723</v>
      </c>
      <c r="C3259" s="102" t="s">
        <v>1132</v>
      </c>
    </row>
    <row r="3260" spans="1:3" ht="15">
      <c r="A3260" s="90" t="s">
        <v>281</v>
      </c>
      <c r="B3260" s="89" t="s">
        <v>2724</v>
      </c>
      <c r="C3260" s="102" t="s">
        <v>1132</v>
      </c>
    </row>
    <row r="3261" spans="1:3" ht="15">
      <c r="A3261" s="90" t="s">
        <v>281</v>
      </c>
      <c r="B3261" s="89" t="s">
        <v>3685</v>
      </c>
      <c r="C3261" s="102" t="s">
        <v>1132</v>
      </c>
    </row>
    <row r="3262" spans="1:3" ht="15">
      <c r="A3262" s="90" t="s">
        <v>281</v>
      </c>
      <c r="B3262" s="89" t="s">
        <v>3355</v>
      </c>
      <c r="C3262" s="102" t="s">
        <v>1132</v>
      </c>
    </row>
    <row r="3263" spans="1:3" ht="15">
      <c r="A3263" s="90" t="s">
        <v>281</v>
      </c>
      <c r="B3263" s="89" t="s">
        <v>2670</v>
      </c>
      <c r="C3263" s="102" t="s">
        <v>1132</v>
      </c>
    </row>
    <row r="3264" spans="1:3" ht="15">
      <c r="A3264" s="90" t="s">
        <v>281</v>
      </c>
      <c r="B3264" s="89" t="s">
        <v>2671</v>
      </c>
      <c r="C3264" s="102" t="s">
        <v>1132</v>
      </c>
    </row>
    <row r="3265" spans="1:3" ht="15">
      <c r="A3265" s="90" t="s">
        <v>281</v>
      </c>
      <c r="B3265" s="89" t="s">
        <v>2666</v>
      </c>
      <c r="C3265" s="102" t="s">
        <v>1132</v>
      </c>
    </row>
    <row r="3266" spans="1:3" ht="15">
      <c r="A3266" s="90" t="s">
        <v>281</v>
      </c>
      <c r="B3266" s="89" t="s">
        <v>2664</v>
      </c>
      <c r="C3266" s="102" t="s">
        <v>1132</v>
      </c>
    </row>
    <row r="3267" spans="1:3" ht="15">
      <c r="A3267" s="90" t="s">
        <v>281</v>
      </c>
      <c r="B3267" s="89" t="s">
        <v>2667</v>
      </c>
      <c r="C3267" s="102" t="s">
        <v>1132</v>
      </c>
    </row>
    <row r="3268" spans="1:3" ht="15">
      <c r="A3268" s="90" t="s">
        <v>281</v>
      </c>
      <c r="B3268" s="89" t="s">
        <v>2663</v>
      </c>
      <c r="C3268" s="102" t="s">
        <v>1132</v>
      </c>
    </row>
    <row r="3269" spans="1:3" ht="15">
      <c r="A3269" s="90" t="s">
        <v>281</v>
      </c>
      <c r="B3269" s="89" t="s">
        <v>3137</v>
      </c>
      <c r="C3269" s="102" t="s">
        <v>1132</v>
      </c>
    </row>
    <row r="3270" spans="1:3" ht="15">
      <c r="A3270" s="90" t="s">
        <v>281</v>
      </c>
      <c r="B3270" s="89" t="s">
        <v>712</v>
      </c>
      <c r="C3270" s="102" t="s">
        <v>1132</v>
      </c>
    </row>
    <row r="3271" spans="1:3" ht="15">
      <c r="A3271" s="90" t="s">
        <v>281</v>
      </c>
      <c r="B3271" s="89" t="s">
        <v>3356</v>
      </c>
      <c r="C3271" s="102" t="s">
        <v>1132</v>
      </c>
    </row>
    <row r="3272" spans="1:3" ht="15">
      <c r="A3272" s="90" t="s">
        <v>281</v>
      </c>
      <c r="B3272" s="89" t="s">
        <v>2668</v>
      </c>
      <c r="C3272" s="102" t="s">
        <v>1132</v>
      </c>
    </row>
    <row r="3273" spans="1:3" ht="15">
      <c r="A3273" s="90" t="s">
        <v>281</v>
      </c>
      <c r="B3273" s="89" t="s">
        <v>3357</v>
      </c>
      <c r="C3273" s="102" t="s">
        <v>1132</v>
      </c>
    </row>
    <row r="3274" spans="1:3" ht="15">
      <c r="A3274" s="90" t="s">
        <v>281</v>
      </c>
      <c r="B3274" s="89" t="s">
        <v>2672</v>
      </c>
      <c r="C3274" s="102" t="s">
        <v>1132</v>
      </c>
    </row>
    <row r="3275" spans="1:3" ht="15">
      <c r="A3275" s="90" t="s">
        <v>281</v>
      </c>
      <c r="B3275" s="89" t="s">
        <v>2665</v>
      </c>
      <c r="C3275" s="102" t="s">
        <v>1132</v>
      </c>
    </row>
    <row r="3276" spans="1:3" ht="15">
      <c r="A3276" s="90" t="s">
        <v>281</v>
      </c>
      <c r="B3276" s="89" t="s">
        <v>399</v>
      </c>
      <c r="C3276" s="102" t="s">
        <v>1131</v>
      </c>
    </row>
    <row r="3277" spans="1:3" ht="15">
      <c r="A3277" s="90" t="s">
        <v>281</v>
      </c>
      <c r="B3277" s="89" t="s">
        <v>3204</v>
      </c>
      <c r="C3277" s="102" t="s">
        <v>1131</v>
      </c>
    </row>
    <row r="3278" spans="1:3" ht="15">
      <c r="A3278" s="90" t="s">
        <v>281</v>
      </c>
      <c r="B3278" s="89" t="s">
        <v>4130</v>
      </c>
      <c r="C3278" s="102" t="s">
        <v>1131</v>
      </c>
    </row>
    <row r="3279" spans="1:3" ht="15">
      <c r="A3279" s="90" t="s">
        <v>281</v>
      </c>
      <c r="B3279" s="89" t="s">
        <v>4132</v>
      </c>
      <c r="C3279" s="102" t="s">
        <v>1131</v>
      </c>
    </row>
    <row r="3280" spans="1:3" ht="15">
      <c r="A3280" s="90" t="s">
        <v>281</v>
      </c>
      <c r="B3280" s="89" t="s">
        <v>4133</v>
      </c>
      <c r="C3280" s="102" t="s">
        <v>1131</v>
      </c>
    </row>
    <row r="3281" spans="1:3" ht="15">
      <c r="A3281" s="90" t="s">
        <v>281</v>
      </c>
      <c r="B3281" s="89" t="s">
        <v>4134</v>
      </c>
      <c r="C3281" s="102" t="s">
        <v>1131</v>
      </c>
    </row>
    <row r="3282" spans="1:3" ht="15">
      <c r="A3282" s="90" t="s">
        <v>281</v>
      </c>
      <c r="B3282" s="89" t="s">
        <v>3141</v>
      </c>
      <c r="C3282" s="102" t="s">
        <v>1131</v>
      </c>
    </row>
    <row r="3283" spans="1:3" ht="15">
      <c r="A3283" s="90" t="s">
        <v>281</v>
      </c>
      <c r="B3283" s="89" t="s">
        <v>3239</v>
      </c>
      <c r="C3283" s="102" t="s">
        <v>1131</v>
      </c>
    </row>
    <row r="3284" spans="1:3" ht="15">
      <c r="A3284" s="90" t="s">
        <v>281</v>
      </c>
      <c r="B3284" s="89" t="s">
        <v>4135</v>
      </c>
      <c r="C3284" s="102" t="s">
        <v>1131</v>
      </c>
    </row>
    <row r="3285" spans="1:3" ht="15">
      <c r="A3285" s="90" t="s">
        <v>280</v>
      </c>
      <c r="B3285" s="89" t="s">
        <v>3311</v>
      </c>
      <c r="C3285" s="102" t="s">
        <v>1042</v>
      </c>
    </row>
    <row r="3286" spans="1:3" ht="15">
      <c r="A3286" s="90" t="s">
        <v>280</v>
      </c>
      <c r="B3286" s="89" t="s">
        <v>3312</v>
      </c>
      <c r="C3286" s="102" t="s">
        <v>1042</v>
      </c>
    </row>
    <row r="3287" spans="1:3" ht="15">
      <c r="A3287" s="90" t="s">
        <v>280</v>
      </c>
      <c r="B3287" s="89" t="s">
        <v>2687</v>
      </c>
      <c r="C3287" s="102" t="s">
        <v>1042</v>
      </c>
    </row>
    <row r="3288" spans="1:3" ht="15">
      <c r="A3288" s="90" t="s">
        <v>280</v>
      </c>
      <c r="B3288" s="89" t="s">
        <v>2688</v>
      </c>
      <c r="C3288" s="102" t="s">
        <v>1042</v>
      </c>
    </row>
    <row r="3289" spans="1:3" ht="15">
      <c r="A3289" s="90" t="s">
        <v>280</v>
      </c>
      <c r="B3289" s="89" t="s">
        <v>2689</v>
      </c>
      <c r="C3289" s="102" t="s">
        <v>1042</v>
      </c>
    </row>
    <row r="3290" spans="1:3" ht="15">
      <c r="A3290" s="90" t="s">
        <v>280</v>
      </c>
      <c r="B3290" s="89" t="s">
        <v>2690</v>
      </c>
      <c r="C3290" s="102" t="s">
        <v>1042</v>
      </c>
    </row>
    <row r="3291" spans="1:3" ht="15">
      <c r="A3291" s="90" t="s">
        <v>280</v>
      </c>
      <c r="B3291" s="89" t="s">
        <v>2691</v>
      </c>
      <c r="C3291" s="102" t="s">
        <v>1042</v>
      </c>
    </row>
    <row r="3292" spans="1:3" ht="15">
      <c r="A3292" s="90" t="s">
        <v>280</v>
      </c>
      <c r="B3292" s="89" t="s">
        <v>2692</v>
      </c>
      <c r="C3292" s="102" t="s">
        <v>1042</v>
      </c>
    </row>
    <row r="3293" spans="1:3" ht="15">
      <c r="A3293" s="90" t="s">
        <v>280</v>
      </c>
      <c r="B3293" s="89" t="s">
        <v>2693</v>
      </c>
      <c r="C3293" s="102" t="s">
        <v>1042</v>
      </c>
    </row>
    <row r="3294" spans="1:3" ht="15">
      <c r="A3294" s="90" t="s">
        <v>280</v>
      </c>
      <c r="B3294" s="89" t="s">
        <v>3313</v>
      </c>
      <c r="C3294" s="102" t="s">
        <v>1042</v>
      </c>
    </row>
    <row r="3295" spans="1:3" ht="15">
      <c r="A3295" s="90" t="s">
        <v>280</v>
      </c>
      <c r="B3295" s="89" t="s">
        <v>2694</v>
      </c>
      <c r="C3295" s="102" t="s">
        <v>1042</v>
      </c>
    </row>
    <row r="3296" spans="1:3" ht="15">
      <c r="A3296" s="90" t="s">
        <v>280</v>
      </c>
      <c r="B3296" s="89" t="s">
        <v>3137</v>
      </c>
      <c r="C3296" s="102" t="s">
        <v>1042</v>
      </c>
    </row>
    <row r="3297" spans="1:3" ht="15">
      <c r="A3297" s="90" t="s">
        <v>280</v>
      </c>
      <c r="B3297" s="89" t="s">
        <v>2695</v>
      </c>
      <c r="C3297" s="102" t="s">
        <v>1042</v>
      </c>
    </row>
    <row r="3298" spans="1:3" ht="15">
      <c r="A3298" s="90" t="s">
        <v>280</v>
      </c>
      <c r="B3298" s="89" t="s">
        <v>2696</v>
      </c>
      <c r="C3298" s="102" t="s">
        <v>1042</v>
      </c>
    </row>
    <row r="3299" spans="1:3" ht="15">
      <c r="A3299" s="90" t="s">
        <v>280</v>
      </c>
      <c r="B3299" s="89" t="s">
        <v>3314</v>
      </c>
      <c r="C3299" s="102" t="s">
        <v>1042</v>
      </c>
    </row>
    <row r="3300" spans="1:3" ht="15">
      <c r="A3300" s="90" t="s">
        <v>280</v>
      </c>
      <c r="B3300" s="89" t="s">
        <v>712</v>
      </c>
      <c r="C3300" s="102" t="s">
        <v>1042</v>
      </c>
    </row>
    <row r="3301" spans="1:3" ht="15">
      <c r="A3301" s="90" t="s">
        <v>280</v>
      </c>
      <c r="B3301" s="89" t="s">
        <v>3315</v>
      </c>
      <c r="C3301" s="102" t="s">
        <v>1042</v>
      </c>
    </row>
    <row r="3302" spans="1:3" ht="15">
      <c r="A3302" s="90" t="s">
        <v>280</v>
      </c>
      <c r="B3302" s="89" t="s">
        <v>2699</v>
      </c>
      <c r="C3302" s="102" t="s">
        <v>1042</v>
      </c>
    </row>
    <row r="3303" spans="1:3" ht="15">
      <c r="A3303" s="90" t="s">
        <v>280</v>
      </c>
      <c r="B3303" s="89" t="s">
        <v>2700</v>
      </c>
      <c r="C3303" s="102" t="s">
        <v>1042</v>
      </c>
    </row>
    <row r="3304" spans="1:3" ht="15">
      <c r="A3304" s="90" t="s">
        <v>280</v>
      </c>
      <c r="B3304" s="89" t="s">
        <v>2701</v>
      </c>
      <c r="C3304" s="102" t="s">
        <v>1042</v>
      </c>
    </row>
    <row r="3305" spans="1:3" ht="15">
      <c r="A3305" s="90" t="s">
        <v>280</v>
      </c>
      <c r="B3305" s="89" t="s">
        <v>3316</v>
      </c>
      <c r="C3305" s="102" t="s">
        <v>1042</v>
      </c>
    </row>
    <row r="3306" spans="1:3" ht="15">
      <c r="A3306" s="90" t="s">
        <v>280</v>
      </c>
      <c r="B3306" s="89" t="s">
        <v>2680</v>
      </c>
      <c r="C3306" s="102" t="s">
        <v>1042</v>
      </c>
    </row>
    <row r="3307" spans="1:3" ht="15">
      <c r="A3307" s="90" t="s">
        <v>280</v>
      </c>
      <c r="B3307" s="89" t="s">
        <v>2702</v>
      </c>
      <c r="C3307" s="102" t="s">
        <v>1042</v>
      </c>
    </row>
    <row r="3308" spans="1:3" ht="15">
      <c r="A3308" s="90" t="s">
        <v>280</v>
      </c>
      <c r="B3308" s="89" t="s">
        <v>2703</v>
      </c>
      <c r="C3308" s="102" t="s">
        <v>1042</v>
      </c>
    </row>
    <row r="3309" spans="1:3" ht="15">
      <c r="A3309" s="90" t="s">
        <v>280</v>
      </c>
      <c r="B3309" s="89" t="s">
        <v>3317</v>
      </c>
      <c r="C3309" s="102" t="s">
        <v>1042</v>
      </c>
    </row>
    <row r="3310" spans="1:3" ht="15">
      <c r="A3310" s="90" t="s">
        <v>280</v>
      </c>
      <c r="B3310" s="89" t="s">
        <v>3318</v>
      </c>
      <c r="C3310" s="102" t="s">
        <v>1042</v>
      </c>
    </row>
    <row r="3311" spans="1:3" ht="15">
      <c r="A3311" s="90" t="s">
        <v>280</v>
      </c>
      <c r="B3311" s="89" t="s">
        <v>226</v>
      </c>
      <c r="C3311" s="102" t="s">
        <v>1042</v>
      </c>
    </row>
    <row r="3312" spans="1:3" ht="15">
      <c r="A3312" s="90" t="s">
        <v>279</v>
      </c>
      <c r="B3312" s="89" t="s">
        <v>3311</v>
      </c>
      <c r="C3312" s="102" t="s">
        <v>1041</v>
      </c>
    </row>
    <row r="3313" spans="1:3" ht="15">
      <c r="A3313" s="90" t="s">
        <v>279</v>
      </c>
      <c r="B3313" s="89" t="s">
        <v>3312</v>
      </c>
      <c r="C3313" s="102" t="s">
        <v>1041</v>
      </c>
    </row>
    <row r="3314" spans="1:3" ht="15">
      <c r="A3314" s="90" t="s">
        <v>279</v>
      </c>
      <c r="B3314" s="89" t="s">
        <v>2687</v>
      </c>
      <c r="C3314" s="102" t="s">
        <v>1041</v>
      </c>
    </row>
    <row r="3315" spans="1:3" ht="15">
      <c r="A3315" s="90" t="s">
        <v>279</v>
      </c>
      <c r="B3315" s="89" t="s">
        <v>2688</v>
      </c>
      <c r="C3315" s="102" t="s">
        <v>1041</v>
      </c>
    </row>
    <row r="3316" spans="1:3" ht="15">
      <c r="A3316" s="90" t="s">
        <v>279</v>
      </c>
      <c r="B3316" s="89" t="s">
        <v>2689</v>
      </c>
      <c r="C3316" s="102" t="s">
        <v>1041</v>
      </c>
    </row>
    <row r="3317" spans="1:3" ht="15">
      <c r="A3317" s="90" t="s">
        <v>279</v>
      </c>
      <c r="B3317" s="89" t="s">
        <v>2690</v>
      </c>
      <c r="C3317" s="102" t="s">
        <v>1041</v>
      </c>
    </row>
    <row r="3318" spans="1:3" ht="15">
      <c r="A3318" s="90" t="s">
        <v>279</v>
      </c>
      <c r="B3318" s="89" t="s">
        <v>2691</v>
      </c>
      <c r="C3318" s="102" t="s">
        <v>1041</v>
      </c>
    </row>
    <row r="3319" spans="1:3" ht="15">
      <c r="A3319" s="90" t="s">
        <v>279</v>
      </c>
      <c r="B3319" s="89" t="s">
        <v>2692</v>
      </c>
      <c r="C3319" s="102" t="s">
        <v>1041</v>
      </c>
    </row>
    <row r="3320" spans="1:3" ht="15">
      <c r="A3320" s="90" t="s">
        <v>279</v>
      </c>
      <c r="B3320" s="89" t="s">
        <v>2693</v>
      </c>
      <c r="C3320" s="102" t="s">
        <v>1041</v>
      </c>
    </row>
    <row r="3321" spans="1:3" ht="15">
      <c r="A3321" s="90" t="s">
        <v>279</v>
      </c>
      <c r="B3321" s="89" t="s">
        <v>3313</v>
      </c>
      <c r="C3321" s="102" t="s">
        <v>1041</v>
      </c>
    </row>
    <row r="3322" spans="1:3" ht="15">
      <c r="A3322" s="90" t="s">
        <v>279</v>
      </c>
      <c r="B3322" s="89" t="s">
        <v>2694</v>
      </c>
      <c r="C3322" s="102" t="s">
        <v>1041</v>
      </c>
    </row>
    <row r="3323" spans="1:3" ht="15">
      <c r="A3323" s="90" t="s">
        <v>279</v>
      </c>
      <c r="B3323" s="89" t="s">
        <v>3137</v>
      </c>
      <c r="C3323" s="102" t="s">
        <v>1041</v>
      </c>
    </row>
    <row r="3324" spans="1:3" ht="15">
      <c r="A3324" s="90" t="s">
        <v>279</v>
      </c>
      <c r="B3324" s="89" t="s">
        <v>2695</v>
      </c>
      <c r="C3324" s="102" t="s">
        <v>1041</v>
      </c>
    </row>
    <row r="3325" spans="1:3" ht="15">
      <c r="A3325" s="90" t="s">
        <v>279</v>
      </c>
      <c r="B3325" s="89" t="s">
        <v>2696</v>
      </c>
      <c r="C3325" s="102" t="s">
        <v>1041</v>
      </c>
    </row>
    <row r="3326" spans="1:3" ht="15">
      <c r="A3326" s="90" t="s">
        <v>279</v>
      </c>
      <c r="B3326" s="89" t="s">
        <v>3314</v>
      </c>
      <c r="C3326" s="102" t="s">
        <v>1041</v>
      </c>
    </row>
    <row r="3327" spans="1:3" ht="15">
      <c r="A3327" s="90" t="s">
        <v>279</v>
      </c>
      <c r="B3327" s="89" t="s">
        <v>712</v>
      </c>
      <c r="C3327" s="102" t="s">
        <v>1041</v>
      </c>
    </row>
    <row r="3328" spans="1:3" ht="15">
      <c r="A3328" s="90" t="s">
        <v>279</v>
      </c>
      <c r="B3328" s="89" t="s">
        <v>3315</v>
      </c>
      <c r="C3328" s="102" t="s">
        <v>1041</v>
      </c>
    </row>
    <row r="3329" spans="1:3" ht="15">
      <c r="A3329" s="90" t="s">
        <v>279</v>
      </c>
      <c r="B3329" s="89" t="s">
        <v>2699</v>
      </c>
      <c r="C3329" s="102" t="s">
        <v>1041</v>
      </c>
    </row>
    <row r="3330" spans="1:3" ht="15">
      <c r="A3330" s="90" t="s">
        <v>279</v>
      </c>
      <c r="B3330" s="89" t="s">
        <v>2700</v>
      </c>
      <c r="C3330" s="102" t="s">
        <v>1041</v>
      </c>
    </row>
    <row r="3331" spans="1:3" ht="15">
      <c r="A3331" s="90" t="s">
        <v>279</v>
      </c>
      <c r="B3331" s="89" t="s">
        <v>2701</v>
      </c>
      <c r="C3331" s="102" t="s">
        <v>1041</v>
      </c>
    </row>
    <row r="3332" spans="1:3" ht="15">
      <c r="A3332" s="90" t="s">
        <v>279</v>
      </c>
      <c r="B3332" s="89" t="s">
        <v>3316</v>
      </c>
      <c r="C3332" s="102" t="s">
        <v>1041</v>
      </c>
    </row>
    <row r="3333" spans="1:3" ht="15">
      <c r="A3333" s="90" t="s">
        <v>279</v>
      </c>
      <c r="B3333" s="89" t="s">
        <v>2680</v>
      </c>
      <c r="C3333" s="102" t="s">
        <v>1041</v>
      </c>
    </row>
    <row r="3334" spans="1:3" ht="15">
      <c r="A3334" s="90" t="s">
        <v>279</v>
      </c>
      <c r="B3334" s="89" t="s">
        <v>2702</v>
      </c>
      <c r="C3334" s="102" t="s">
        <v>1041</v>
      </c>
    </row>
    <row r="3335" spans="1:3" ht="15">
      <c r="A3335" s="90" t="s">
        <v>279</v>
      </c>
      <c r="B3335" s="89" t="s">
        <v>2703</v>
      </c>
      <c r="C3335" s="102" t="s">
        <v>1041</v>
      </c>
    </row>
    <row r="3336" spans="1:3" ht="15">
      <c r="A3336" s="90" t="s">
        <v>279</v>
      </c>
      <c r="B3336" s="89" t="s">
        <v>3317</v>
      </c>
      <c r="C3336" s="102" t="s">
        <v>1041</v>
      </c>
    </row>
    <row r="3337" spans="1:3" ht="15">
      <c r="A3337" s="90" t="s">
        <v>279</v>
      </c>
      <c r="B3337" s="89" t="s">
        <v>3318</v>
      </c>
      <c r="C3337" s="102" t="s">
        <v>1041</v>
      </c>
    </row>
    <row r="3338" spans="1:3" ht="15">
      <c r="A3338" s="90" t="s">
        <v>279</v>
      </c>
      <c r="B3338" s="89" t="s">
        <v>226</v>
      </c>
      <c r="C3338" s="102" t="s">
        <v>1041</v>
      </c>
    </row>
    <row r="3339" spans="1:3" ht="15">
      <c r="A3339" s="90" t="s">
        <v>278</v>
      </c>
      <c r="B3339" s="89" t="s">
        <v>3311</v>
      </c>
      <c r="C3339" s="102" t="s">
        <v>1040</v>
      </c>
    </row>
    <row r="3340" spans="1:3" ht="15">
      <c r="A3340" s="90" t="s">
        <v>278</v>
      </c>
      <c r="B3340" s="89" t="s">
        <v>3312</v>
      </c>
      <c r="C3340" s="102" t="s">
        <v>1040</v>
      </c>
    </row>
    <row r="3341" spans="1:3" ht="15">
      <c r="A3341" s="90" t="s">
        <v>278</v>
      </c>
      <c r="B3341" s="89" t="s">
        <v>2687</v>
      </c>
      <c r="C3341" s="102" t="s">
        <v>1040</v>
      </c>
    </row>
    <row r="3342" spans="1:3" ht="15">
      <c r="A3342" s="90" t="s">
        <v>278</v>
      </c>
      <c r="B3342" s="89" t="s">
        <v>2688</v>
      </c>
      <c r="C3342" s="102" t="s">
        <v>1040</v>
      </c>
    </row>
    <row r="3343" spans="1:3" ht="15">
      <c r="A3343" s="90" t="s">
        <v>278</v>
      </c>
      <c r="B3343" s="89" t="s">
        <v>2689</v>
      </c>
      <c r="C3343" s="102" t="s">
        <v>1040</v>
      </c>
    </row>
    <row r="3344" spans="1:3" ht="15">
      <c r="A3344" s="90" t="s">
        <v>278</v>
      </c>
      <c r="B3344" s="89" t="s">
        <v>2690</v>
      </c>
      <c r="C3344" s="102" t="s">
        <v>1040</v>
      </c>
    </row>
    <row r="3345" spans="1:3" ht="15">
      <c r="A3345" s="90" t="s">
        <v>278</v>
      </c>
      <c r="B3345" s="89" t="s">
        <v>2691</v>
      </c>
      <c r="C3345" s="102" t="s">
        <v>1040</v>
      </c>
    </row>
    <row r="3346" spans="1:3" ht="15">
      <c r="A3346" s="90" t="s">
        <v>278</v>
      </c>
      <c r="B3346" s="89" t="s">
        <v>2692</v>
      </c>
      <c r="C3346" s="102" t="s">
        <v>1040</v>
      </c>
    </row>
    <row r="3347" spans="1:3" ht="15">
      <c r="A3347" s="90" t="s">
        <v>278</v>
      </c>
      <c r="B3347" s="89" t="s">
        <v>2693</v>
      </c>
      <c r="C3347" s="102" t="s">
        <v>1040</v>
      </c>
    </row>
    <row r="3348" spans="1:3" ht="15">
      <c r="A3348" s="90" t="s">
        <v>278</v>
      </c>
      <c r="B3348" s="89" t="s">
        <v>3313</v>
      </c>
      <c r="C3348" s="102" t="s">
        <v>1040</v>
      </c>
    </row>
    <row r="3349" spans="1:3" ht="15">
      <c r="A3349" s="90" t="s">
        <v>278</v>
      </c>
      <c r="B3349" s="89" t="s">
        <v>2694</v>
      </c>
      <c r="C3349" s="102" t="s">
        <v>1040</v>
      </c>
    </row>
    <row r="3350" spans="1:3" ht="15">
      <c r="A3350" s="90" t="s">
        <v>278</v>
      </c>
      <c r="B3350" s="89" t="s">
        <v>3137</v>
      </c>
      <c r="C3350" s="102" t="s">
        <v>1040</v>
      </c>
    </row>
    <row r="3351" spans="1:3" ht="15">
      <c r="A3351" s="90" t="s">
        <v>278</v>
      </c>
      <c r="B3351" s="89" t="s">
        <v>2695</v>
      </c>
      <c r="C3351" s="102" t="s">
        <v>1040</v>
      </c>
    </row>
    <row r="3352" spans="1:3" ht="15">
      <c r="A3352" s="90" t="s">
        <v>278</v>
      </c>
      <c r="B3352" s="89" t="s">
        <v>2696</v>
      </c>
      <c r="C3352" s="102" t="s">
        <v>1040</v>
      </c>
    </row>
    <row r="3353" spans="1:3" ht="15">
      <c r="A3353" s="90" t="s">
        <v>278</v>
      </c>
      <c r="B3353" s="89" t="s">
        <v>3314</v>
      </c>
      <c r="C3353" s="102" t="s">
        <v>1040</v>
      </c>
    </row>
    <row r="3354" spans="1:3" ht="15">
      <c r="A3354" s="90" t="s">
        <v>278</v>
      </c>
      <c r="B3354" s="89" t="s">
        <v>712</v>
      </c>
      <c r="C3354" s="102" t="s">
        <v>1040</v>
      </c>
    </row>
    <row r="3355" spans="1:3" ht="15">
      <c r="A3355" s="90" t="s">
        <v>278</v>
      </c>
      <c r="B3355" s="89" t="s">
        <v>3315</v>
      </c>
      <c r="C3355" s="102" t="s">
        <v>1040</v>
      </c>
    </row>
    <row r="3356" spans="1:3" ht="15">
      <c r="A3356" s="90" t="s">
        <v>278</v>
      </c>
      <c r="B3356" s="89" t="s">
        <v>2699</v>
      </c>
      <c r="C3356" s="102" t="s">
        <v>1040</v>
      </c>
    </row>
    <row r="3357" spans="1:3" ht="15">
      <c r="A3357" s="90" t="s">
        <v>278</v>
      </c>
      <c r="B3357" s="89" t="s">
        <v>2700</v>
      </c>
      <c r="C3357" s="102" t="s">
        <v>1040</v>
      </c>
    </row>
    <row r="3358" spans="1:3" ht="15">
      <c r="A3358" s="90" t="s">
        <v>278</v>
      </c>
      <c r="B3358" s="89" t="s">
        <v>2701</v>
      </c>
      <c r="C3358" s="102" t="s">
        <v>1040</v>
      </c>
    </row>
    <row r="3359" spans="1:3" ht="15">
      <c r="A3359" s="90" t="s">
        <v>278</v>
      </c>
      <c r="B3359" s="89" t="s">
        <v>3316</v>
      </c>
      <c r="C3359" s="102" t="s">
        <v>1040</v>
      </c>
    </row>
    <row r="3360" spans="1:3" ht="15">
      <c r="A3360" s="90" t="s">
        <v>278</v>
      </c>
      <c r="B3360" s="89" t="s">
        <v>2680</v>
      </c>
      <c r="C3360" s="102" t="s">
        <v>1040</v>
      </c>
    </row>
    <row r="3361" spans="1:3" ht="15">
      <c r="A3361" s="90" t="s">
        <v>278</v>
      </c>
      <c r="B3361" s="89" t="s">
        <v>2702</v>
      </c>
      <c r="C3361" s="102" t="s">
        <v>1040</v>
      </c>
    </row>
    <row r="3362" spans="1:3" ht="15">
      <c r="A3362" s="90" t="s">
        <v>278</v>
      </c>
      <c r="B3362" s="89" t="s">
        <v>2703</v>
      </c>
      <c r="C3362" s="102" t="s">
        <v>1040</v>
      </c>
    </row>
    <row r="3363" spans="1:3" ht="15">
      <c r="A3363" s="90" t="s">
        <v>278</v>
      </c>
      <c r="B3363" s="89" t="s">
        <v>3317</v>
      </c>
      <c r="C3363" s="102" t="s">
        <v>1040</v>
      </c>
    </row>
    <row r="3364" spans="1:3" ht="15">
      <c r="A3364" s="90" t="s">
        <v>278</v>
      </c>
      <c r="B3364" s="89" t="s">
        <v>3318</v>
      </c>
      <c r="C3364" s="102" t="s">
        <v>1040</v>
      </c>
    </row>
    <row r="3365" spans="1:3" ht="15">
      <c r="A3365" s="90" t="s">
        <v>278</v>
      </c>
      <c r="B3365" s="89" t="s">
        <v>226</v>
      </c>
      <c r="C3365" s="102" t="s">
        <v>1040</v>
      </c>
    </row>
    <row r="3366" spans="1:3" ht="15">
      <c r="A3366" s="90" t="s">
        <v>277</v>
      </c>
      <c r="B3366" s="89" t="s">
        <v>3311</v>
      </c>
      <c r="C3366" s="102" t="s">
        <v>1039</v>
      </c>
    </row>
    <row r="3367" spans="1:3" ht="15">
      <c r="A3367" s="90" t="s">
        <v>277</v>
      </c>
      <c r="B3367" s="89" t="s">
        <v>3312</v>
      </c>
      <c r="C3367" s="102" t="s">
        <v>1039</v>
      </c>
    </row>
    <row r="3368" spans="1:3" ht="15">
      <c r="A3368" s="90" t="s">
        <v>277</v>
      </c>
      <c r="B3368" s="89" t="s">
        <v>2687</v>
      </c>
      <c r="C3368" s="102" t="s">
        <v>1039</v>
      </c>
    </row>
    <row r="3369" spans="1:3" ht="15">
      <c r="A3369" s="90" t="s">
        <v>277</v>
      </c>
      <c r="B3369" s="89" t="s">
        <v>2688</v>
      </c>
      <c r="C3369" s="102" t="s">
        <v>1039</v>
      </c>
    </row>
    <row r="3370" spans="1:3" ht="15">
      <c r="A3370" s="90" t="s">
        <v>277</v>
      </c>
      <c r="B3370" s="89" t="s">
        <v>2689</v>
      </c>
      <c r="C3370" s="102" t="s">
        <v>1039</v>
      </c>
    </row>
    <row r="3371" spans="1:3" ht="15">
      <c r="A3371" s="90" t="s">
        <v>277</v>
      </c>
      <c r="B3371" s="89" t="s">
        <v>2690</v>
      </c>
      <c r="C3371" s="102" t="s">
        <v>1039</v>
      </c>
    </row>
    <row r="3372" spans="1:3" ht="15">
      <c r="A3372" s="90" t="s">
        <v>277</v>
      </c>
      <c r="B3372" s="89" t="s">
        <v>2691</v>
      </c>
      <c r="C3372" s="102" t="s">
        <v>1039</v>
      </c>
    </row>
    <row r="3373" spans="1:3" ht="15">
      <c r="A3373" s="90" t="s">
        <v>277</v>
      </c>
      <c r="B3373" s="89" t="s">
        <v>2692</v>
      </c>
      <c r="C3373" s="102" t="s">
        <v>1039</v>
      </c>
    </row>
    <row r="3374" spans="1:3" ht="15">
      <c r="A3374" s="90" t="s">
        <v>277</v>
      </c>
      <c r="B3374" s="89" t="s">
        <v>2693</v>
      </c>
      <c r="C3374" s="102" t="s">
        <v>1039</v>
      </c>
    </row>
    <row r="3375" spans="1:3" ht="15">
      <c r="A3375" s="90" t="s">
        <v>277</v>
      </c>
      <c r="B3375" s="89" t="s">
        <v>3313</v>
      </c>
      <c r="C3375" s="102" t="s">
        <v>1039</v>
      </c>
    </row>
    <row r="3376" spans="1:3" ht="15">
      <c r="A3376" s="90" t="s">
        <v>277</v>
      </c>
      <c r="B3376" s="89" t="s">
        <v>2694</v>
      </c>
      <c r="C3376" s="102" t="s">
        <v>1039</v>
      </c>
    </row>
    <row r="3377" spans="1:3" ht="15">
      <c r="A3377" s="90" t="s">
        <v>277</v>
      </c>
      <c r="B3377" s="89" t="s">
        <v>3137</v>
      </c>
      <c r="C3377" s="102" t="s">
        <v>1039</v>
      </c>
    </row>
    <row r="3378" spans="1:3" ht="15">
      <c r="A3378" s="90" t="s">
        <v>277</v>
      </c>
      <c r="B3378" s="89" t="s">
        <v>2695</v>
      </c>
      <c r="C3378" s="102" t="s">
        <v>1039</v>
      </c>
    </row>
    <row r="3379" spans="1:3" ht="15">
      <c r="A3379" s="90" t="s">
        <v>277</v>
      </c>
      <c r="B3379" s="89" t="s">
        <v>2696</v>
      </c>
      <c r="C3379" s="102" t="s">
        <v>1039</v>
      </c>
    </row>
    <row r="3380" spans="1:3" ht="15">
      <c r="A3380" s="90" t="s">
        <v>277</v>
      </c>
      <c r="B3380" s="89" t="s">
        <v>3314</v>
      </c>
      <c r="C3380" s="102" t="s">
        <v>1039</v>
      </c>
    </row>
    <row r="3381" spans="1:3" ht="15">
      <c r="A3381" s="90" t="s">
        <v>277</v>
      </c>
      <c r="B3381" s="89" t="s">
        <v>712</v>
      </c>
      <c r="C3381" s="102" t="s">
        <v>1039</v>
      </c>
    </row>
    <row r="3382" spans="1:3" ht="15">
      <c r="A3382" s="90" t="s">
        <v>277</v>
      </c>
      <c r="B3382" s="89" t="s">
        <v>3315</v>
      </c>
      <c r="C3382" s="102" t="s">
        <v>1039</v>
      </c>
    </row>
    <row r="3383" spans="1:3" ht="15">
      <c r="A3383" s="90" t="s">
        <v>277</v>
      </c>
      <c r="B3383" s="89" t="s">
        <v>2699</v>
      </c>
      <c r="C3383" s="102" t="s">
        <v>1039</v>
      </c>
    </row>
    <row r="3384" spans="1:3" ht="15">
      <c r="A3384" s="90" t="s">
        <v>277</v>
      </c>
      <c r="B3384" s="89" t="s">
        <v>2700</v>
      </c>
      <c r="C3384" s="102" t="s">
        <v>1039</v>
      </c>
    </row>
    <row r="3385" spans="1:3" ht="15">
      <c r="A3385" s="90" t="s">
        <v>277</v>
      </c>
      <c r="B3385" s="89" t="s">
        <v>2701</v>
      </c>
      <c r="C3385" s="102" t="s">
        <v>1039</v>
      </c>
    </row>
    <row r="3386" spans="1:3" ht="15">
      <c r="A3386" s="90" t="s">
        <v>277</v>
      </c>
      <c r="B3386" s="89" t="s">
        <v>3316</v>
      </c>
      <c r="C3386" s="102" t="s">
        <v>1039</v>
      </c>
    </row>
    <row r="3387" spans="1:3" ht="15">
      <c r="A3387" s="90" t="s">
        <v>277</v>
      </c>
      <c r="B3387" s="89" t="s">
        <v>2680</v>
      </c>
      <c r="C3387" s="102" t="s">
        <v>1039</v>
      </c>
    </row>
    <row r="3388" spans="1:3" ht="15">
      <c r="A3388" s="90" t="s">
        <v>277</v>
      </c>
      <c r="B3388" s="89" t="s">
        <v>2702</v>
      </c>
      <c r="C3388" s="102" t="s">
        <v>1039</v>
      </c>
    </row>
    <row r="3389" spans="1:3" ht="15">
      <c r="A3389" s="90" t="s">
        <v>277</v>
      </c>
      <c r="B3389" s="89" t="s">
        <v>2703</v>
      </c>
      <c r="C3389" s="102" t="s">
        <v>1039</v>
      </c>
    </row>
    <row r="3390" spans="1:3" ht="15">
      <c r="A3390" s="90" t="s">
        <v>277</v>
      </c>
      <c r="B3390" s="89" t="s">
        <v>3317</v>
      </c>
      <c r="C3390" s="102" t="s">
        <v>1039</v>
      </c>
    </row>
    <row r="3391" spans="1:3" ht="15">
      <c r="A3391" s="90" t="s">
        <v>277</v>
      </c>
      <c r="B3391" s="89" t="s">
        <v>3318</v>
      </c>
      <c r="C3391" s="102" t="s">
        <v>1039</v>
      </c>
    </row>
    <row r="3392" spans="1:3" ht="15">
      <c r="A3392" s="90" t="s">
        <v>277</v>
      </c>
      <c r="B3392" s="89" t="s">
        <v>226</v>
      </c>
      <c r="C3392" s="102" t="s">
        <v>1039</v>
      </c>
    </row>
    <row r="3393" spans="1:3" ht="15">
      <c r="A3393" s="90" t="s">
        <v>276</v>
      </c>
      <c r="B3393" s="89" t="s">
        <v>3311</v>
      </c>
      <c r="C3393" s="102" t="s">
        <v>1038</v>
      </c>
    </row>
    <row r="3394" spans="1:3" ht="15">
      <c r="A3394" s="90" t="s">
        <v>276</v>
      </c>
      <c r="B3394" s="89" t="s">
        <v>3312</v>
      </c>
      <c r="C3394" s="102" t="s">
        <v>1038</v>
      </c>
    </row>
    <row r="3395" spans="1:3" ht="15">
      <c r="A3395" s="90" t="s">
        <v>276</v>
      </c>
      <c r="B3395" s="89" t="s">
        <v>2687</v>
      </c>
      <c r="C3395" s="102" t="s">
        <v>1038</v>
      </c>
    </row>
    <row r="3396" spans="1:3" ht="15">
      <c r="A3396" s="90" t="s">
        <v>276</v>
      </c>
      <c r="B3396" s="89" t="s">
        <v>2688</v>
      </c>
      <c r="C3396" s="102" t="s">
        <v>1038</v>
      </c>
    </row>
    <row r="3397" spans="1:3" ht="15">
      <c r="A3397" s="90" t="s">
        <v>276</v>
      </c>
      <c r="B3397" s="89" t="s">
        <v>2689</v>
      </c>
      <c r="C3397" s="102" t="s">
        <v>1038</v>
      </c>
    </row>
    <row r="3398" spans="1:3" ht="15">
      <c r="A3398" s="90" t="s">
        <v>276</v>
      </c>
      <c r="B3398" s="89" t="s">
        <v>2690</v>
      </c>
      <c r="C3398" s="102" t="s">
        <v>1038</v>
      </c>
    </row>
    <row r="3399" spans="1:3" ht="15">
      <c r="A3399" s="90" t="s">
        <v>276</v>
      </c>
      <c r="B3399" s="89" t="s">
        <v>2691</v>
      </c>
      <c r="C3399" s="102" t="s">
        <v>1038</v>
      </c>
    </row>
    <row r="3400" spans="1:3" ht="15">
      <c r="A3400" s="90" t="s">
        <v>276</v>
      </c>
      <c r="B3400" s="89" t="s">
        <v>2692</v>
      </c>
      <c r="C3400" s="102" t="s">
        <v>1038</v>
      </c>
    </row>
    <row r="3401" spans="1:3" ht="15">
      <c r="A3401" s="90" t="s">
        <v>276</v>
      </c>
      <c r="B3401" s="89" t="s">
        <v>2693</v>
      </c>
      <c r="C3401" s="102" t="s">
        <v>1038</v>
      </c>
    </row>
    <row r="3402" spans="1:3" ht="15">
      <c r="A3402" s="90" t="s">
        <v>276</v>
      </c>
      <c r="B3402" s="89" t="s">
        <v>3313</v>
      </c>
      <c r="C3402" s="102" t="s">
        <v>1038</v>
      </c>
    </row>
    <row r="3403" spans="1:3" ht="15">
      <c r="A3403" s="90" t="s">
        <v>276</v>
      </c>
      <c r="B3403" s="89" t="s">
        <v>2694</v>
      </c>
      <c r="C3403" s="102" t="s">
        <v>1038</v>
      </c>
    </row>
    <row r="3404" spans="1:3" ht="15">
      <c r="A3404" s="90" t="s">
        <v>276</v>
      </c>
      <c r="B3404" s="89" t="s">
        <v>3137</v>
      </c>
      <c r="C3404" s="102" t="s">
        <v>1038</v>
      </c>
    </row>
    <row r="3405" spans="1:3" ht="15">
      <c r="A3405" s="90" t="s">
        <v>276</v>
      </c>
      <c r="B3405" s="89" t="s">
        <v>2695</v>
      </c>
      <c r="C3405" s="102" t="s">
        <v>1038</v>
      </c>
    </row>
    <row r="3406" spans="1:3" ht="15">
      <c r="A3406" s="90" t="s">
        <v>276</v>
      </c>
      <c r="B3406" s="89" t="s">
        <v>2696</v>
      </c>
      <c r="C3406" s="102" t="s">
        <v>1038</v>
      </c>
    </row>
    <row r="3407" spans="1:3" ht="15">
      <c r="A3407" s="90" t="s">
        <v>276</v>
      </c>
      <c r="B3407" s="89" t="s">
        <v>3314</v>
      </c>
      <c r="C3407" s="102" t="s">
        <v>1038</v>
      </c>
    </row>
    <row r="3408" spans="1:3" ht="15">
      <c r="A3408" s="90" t="s">
        <v>276</v>
      </c>
      <c r="B3408" s="89" t="s">
        <v>712</v>
      </c>
      <c r="C3408" s="102" t="s">
        <v>1038</v>
      </c>
    </row>
    <row r="3409" spans="1:3" ht="15">
      <c r="A3409" s="90" t="s">
        <v>276</v>
      </c>
      <c r="B3409" s="89" t="s">
        <v>3315</v>
      </c>
      <c r="C3409" s="102" t="s">
        <v>1038</v>
      </c>
    </row>
    <row r="3410" spans="1:3" ht="15">
      <c r="A3410" s="90" t="s">
        <v>276</v>
      </c>
      <c r="B3410" s="89" t="s">
        <v>2699</v>
      </c>
      <c r="C3410" s="102" t="s">
        <v>1038</v>
      </c>
    </row>
    <row r="3411" spans="1:3" ht="15">
      <c r="A3411" s="90" t="s">
        <v>276</v>
      </c>
      <c r="B3411" s="89" t="s">
        <v>2700</v>
      </c>
      <c r="C3411" s="102" t="s">
        <v>1038</v>
      </c>
    </row>
    <row r="3412" spans="1:3" ht="15">
      <c r="A3412" s="90" t="s">
        <v>276</v>
      </c>
      <c r="B3412" s="89" t="s">
        <v>2701</v>
      </c>
      <c r="C3412" s="102" t="s">
        <v>1038</v>
      </c>
    </row>
    <row r="3413" spans="1:3" ht="15">
      <c r="A3413" s="90" t="s">
        <v>276</v>
      </c>
      <c r="B3413" s="89" t="s">
        <v>3316</v>
      </c>
      <c r="C3413" s="102" t="s">
        <v>1038</v>
      </c>
    </row>
    <row r="3414" spans="1:3" ht="15">
      <c r="A3414" s="90" t="s">
        <v>276</v>
      </c>
      <c r="B3414" s="89" t="s">
        <v>2680</v>
      </c>
      <c r="C3414" s="102" t="s">
        <v>1038</v>
      </c>
    </row>
    <row r="3415" spans="1:3" ht="15">
      <c r="A3415" s="90" t="s">
        <v>276</v>
      </c>
      <c r="B3415" s="89" t="s">
        <v>2702</v>
      </c>
      <c r="C3415" s="102" t="s">
        <v>1038</v>
      </c>
    </row>
    <row r="3416" spans="1:3" ht="15">
      <c r="A3416" s="90" t="s">
        <v>276</v>
      </c>
      <c r="B3416" s="89" t="s">
        <v>2703</v>
      </c>
      <c r="C3416" s="102" t="s">
        <v>1038</v>
      </c>
    </row>
    <row r="3417" spans="1:3" ht="15">
      <c r="A3417" s="90" t="s">
        <v>276</v>
      </c>
      <c r="B3417" s="89" t="s">
        <v>3317</v>
      </c>
      <c r="C3417" s="102" t="s">
        <v>1038</v>
      </c>
    </row>
    <row r="3418" spans="1:3" ht="15">
      <c r="A3418" s="90" t="s">
        <v>276</v>
      </c>
      <c r="B3418" s="89" t="s">
        <v>3318</v>
      </c>
      <c r="C3418" s="102" t="s">
        <v>1038</v>
      </c>
    </row>
    <row r="3419" spans="1:3" ht="15">
      <c r="A3419" s="90" t="s">
        <v>276</v>
      </c>
      <c r="B3419" s="89" t="s">
        <v>226</v>
      </c>
      <c r="C3419" s="102" t="s">
        <v>1038</v>
      </c>
    </row>
    <row r="3420" spans="1:3" ht="15">
      <c r="A3420" s="90" t="s">
        <v>275</v>
      </c>
      <c r="B3420" s="89" t="s">
        <v>3311</v>
      </c>
      <c r="C3420" s="102" t="s">
        <v>1037</v>
      </c>
    </row>
    <row r="3421" spans="1:3" ht="15">
      <c r="A3421" s="90" t="s">
        <v>275</v>
      </c>
      <c r="B3421" s="89" t="s">
        <v>3312</v>
      </c>
      <c r="C3421" s="102" t="s">
        <v>1037</v>
      </c>
    </row>
    <row r="3422" spans="1:3" ht="15">
      <c r="A3422" s="90" t="s">
        <v>275</v>
      </c>
      <c r="B3422" s="89" t="s">
        <v>2687</v>
      </c>
      <c r="C3422" s="102" t="s">
        <v>1037</v>
      </c>
    </row>
    <row r="3423" spans="1:3" ht="15">
      <c r="A3423" s="90" t="s">
        <v>275</v>
      </c>
      <c r="B3423" s="89" t="s">
        <v>2688</v>
      </c>
      <c r="C3423" s="102" t="s">
        <v>1037</v>
      </c>
    </row>
    <row r="3424" spans="1:3" ht="15">
      <c r="A3424" s="90" t="s">
        <v>275</v>
      </c>
      <c r="B3424" s="89" t="s">
        <v>2689</v>
      </c>
      <c r="C3424" s="102" t="s">
        <v>1037</v>
      </c>
    </row>
    <row r="3425" spans="1:3" ht="15">
      <c r="A3425" s="90" t="s">
        <v>275</v>
      </c>
      <c r="B3425" s="89" t="s">
        <v>2690</v>
      </c>
      <c r="C3425" s="102" t="s">
        <v>1037</v>
      </c>
    </row>
    <row r="3426" spans="1:3" ht="15">
      <c r="A3426" s="90" t="s">
        <v>275</v>
      </c>
      <c r="B3426" s="89" t="s">
        <v>2691</v>
      </c>
      <c r="C3426" s="102" t="s">
        <v>1037</v>
      </c>
    </row>
    <row r="3427" spans="1:3" ht="15">
      <c r="A3427" s="90" t="s">
        <v>275</v>
      </c>
      <c r="B3427" s="89" t="s">
        <v>2692</v>
      </c>
      <c r="C3427" s="102" t="s">
        <v>1037</v>
      </c>
    </row>
    <row r="3428" spans="1:3" ht="15">
      <c r="A3428" s="90" t="s">
        <v>275</v>
      </c>
      <c r="B3428" s="89" t="s">
        <v>2693</v>
      </c>
      <c r="C3428" s="102" t="s">
        <v>1037</v>
      </c>
    </row>
    <row r="3429" spans="1:3" ht="15">
      <c r="A3429" s="90" t="s">
        <v>275</v>
      </c>
      <c r="B3429" s="89" t="s">
        <v>3313</v>
      </c>
      <c r="C3429" s="102" t="s">
        <v>1037</v>
      </c>
    </row>
    <row r="3430" spans="1:3" ht="15">
      <c r="A3430" s="90" t="s">
        <v>275</v>
      </c>
      <c r="B3430" s="89" t="s">
        <v>2694</v>
      </c>
      <c r="C3430" s="102" t="s">
        <v>1037</v>
      </c>
    </row>
    <row r="3431" spans="1:3" ht="15">
      <c r="A3431" s="90" t="s">
        <v>275</v>
      </c>
      <c r="B3431" s="89" t="s">
        <v>3137</v>
      </c>
      <c r="C3431" s="102" t="s">
        <v>1037</v>
      </c>
    </row>
    <row r="3432" spans="1:3" ht="15">
      <c r="A3432" s="90" t="s">
        <v>275</v>
      </c>
      <c r="B3432" s="89" t="s">
        <v>2695</v>
      </c>
      <c r="C3432" s="102" t="s">
        <v>1037</v>
      </c>
    </row>
    <row r="3433" spans="1:3" ht="15">
      <c r="A3433" s="90" t="s">
        <v>275</v>
      </c>
      <c r="B3433" s="89" t="s">
        <v>2696</v>
      </c>
      <c r="C3433" s="102" t="s">
        <v>1037</v>
      </c>
    </row>
    <row r="3434" spans="1:3" ht="15">
      <c r="A3434" s="90" t="s">
        <v>275</v>
      </c>
      <c r="B3434" s="89" t="s">
        <v>3314</v>
      </c>
      <c r="C3434" s="102" t="s">
        <v>1037</v>
      </c>
    </row>
    <row r="3435" spans="1:3" ht="15">
      <c r="A3435" s="90" t="s">
        <v>275</v>
      </c>
      <c r="B3435" s="89" t="s">
        <v>712</v>
      </c>
      <c r="C3435" s="102" t="s">
        <v>1037</v>
      </c>
    </row>
    <row r="3436" spans="1:3" ht="15">
      <c r="A3436" s="90" t="s">
        <v>275</v>
      </c>
      <c r="B3436" s="89" t="s">
        <v>3315</v>
      </c>
      <c r="C3436" s="102" t="s">
        <v>1037</v>
      </c>
    </row>
    <row r="3437" spans="1:3" ht="15">
      <c r="A3437" s="90" t="s">
        <v>275</v>
      </c>
      <c r="B3437" s="89" t="s">
        <v>2699</v>
      </c>
      <c r="C3437" s="102" t="s">
        <v>1037</v>
      </c>
    </row>
    <row r="3438" spans="1:3" ht="15">
      <c r="A3438" s="90" t="s">
        <v>275</v>
      </c>
      <c r="B3438" s="89" t="s">
        <v>2700</v>
      </c>
      <c r="C3438" s="102" t="s">
        <v>1037</v>
      </c>
    </row>
    <row r="3439" spans="1:3" ht="15">
      <c r="A3439" s="90" t="s">
        <v>275</v>
      </c>
      <c r="B3439" s="89" t="s">
        <v>2701</v>
      </c>
      <c r="C3439" s="102" t="s">
        <v>1037</v>
      </c>
    </row>
    <row r="3440" spans="1:3" ht="15">
      <c r="A3440" s="90" t="s">
        <v>275</v>
      </c>
      <c r="B3440" s="89" t="s">
        <v>3316</v>
      </c>
      <c r="C3440" s="102" t="s">
        <v>1037</v>
      </c>
    </row>
    <row r="3441" spans="1:3" ht="15">
      <c r="A3441" s="90" t="s">
        <v>275</v>
      </c>
      <c r="B3441" s="89" t="s">
        <v>2680</v>
      </c>
      <c r="C3441" s="102" t="s">
        <v>1037</v>
      </c>
    </row>
    <row r="3442" spans="1:3" ht="15">
      <c r="A3442" s="90" t="s">
        <v>275</v>
      </c>
      <c r="B3442" s="89" t="s">
        <v>2702</v>
      </c>
      <c r="C3442" s="102" t="s">
        <v>1037</v>
      </c>
    </row>
    <row r="3443" spans="1:3" ht="15">
      <c r="A3443" s="90" t="s">
        <v>275</v>
      </c>
      <c r="B3443" s="89" t="s">
        <v>2703</v>
      </c>
      <c r="C3443" s="102" t="s">
        <v>1037</v>
      </c>
    </row>
    <row r="3444" spans="1:3" ht="15">
      <c r="A3444" s="90" t="s">
        <v>275</v>
      </c>
      <c r="B3444" s="89" t="s">
        <v>3317</v>
      </c>
      <c r="C3444" s="102" t="s">
        <v>1037</v>
      </c>
    </row>
    <row r="3445" spans="1:3" ht="15">
      <c r="A3445" s="90" t="s">
        <v>275</v>
      </c>
      <c r="B3445" s="89" t="s">
        <v>3318</v>
      </c>
      <c r="C3445" s="102" t="s">
        <v>1037</v>
      </c>
    </row>
    <row r="3446" spans="1:3" ht="15">
      <c r="A3446" s="90" t="s">
        <v>275</v>
      </c>
      <c r="B3446" s="89" t="s">
        <v>226</v>
      </c>
      <c r="C3446" s="102" t="s">
        <v>1037</v>
      </c>
    </row>
    <row r="3447" spans="1:3" ht="15">
      <c r="A3447" s="90" t="s">
        <v>306</v>
      </c>
      <c r="B3447" s="89" t="s">
        <v>434</v>
      </c>
      <c r="C3447" s="102" t="s">
        <v>1093</v>
      </c>
    </row>
    <row r="3448" spans="1:3" ht="15">
      <c r="A3448" s="90" t="s">
        <v>306</v>
      </c>
      <c r="B3448" s="89" t="s">
        <v>3227</v>
      </c>
      <c r="C3448" s="102" t="s">
        <v>1093</v>
      </c>
    </row>
    <row r="3449" spans="1:3" ht="15">
      <c r="A3449" s="90" t="s">
        <v>306</v>
      </c>
      <c r="B3449" s="89" t="s">
        <v>3036</v>
      </c>
      <c r="C3449" s="102" t="s">
        <v>1093</v>
      </c>
    </row>
    <row r="3450" spans="1:3" ht="15">
      <c r="A3450" s="90" t="s">
        <v>306</v>
      </c>
      <c r="B3450" s="89" t="s">
        <v>2785</v>
      </c>
      <c r="C3450" s="102" t="s">
        <v>1093</v>
      </c>
    </row>
    <row r="3451" spans="1:3" ht="15">
      <c r="A3451" s="90" t="s">
        <v>306</v>
      </c>
      <c r="B3451" s="89" t="s">
        <v>3716</v>
      </c>
      <c r="C3451" s="102" t="s">
        <v>1093</v>
      </c>
    </row>
    <row r="3452" spans="1:3" ht="15">
      <c r="A3452" s="90" t="s">
        <v>306</v>
      </c>
      <c r="B3452" s="89" t="s">
        <v>3037</v>
      </c>
      <c r="C3452" s="102" t="s">
        <v>1093</v>
      </c>
    </row>
    <row r="3453" spans="1:3" ht="15">
      <c r="A3453" s="90" t="s">
        <v>306</v>
      </c>
      <c r="B3453" s="89" t="s">
        <v>3038</v>
      </c>
      <c r="C3453" s="102" t="s">
        <v>1093</v>
      </c>
    </row>
    <row r="3454" spans="1:3" ht="15">
      <c r="A3454" s="90" t="s">
        <v>306</v>
      </c>
      <c r="B3454" s="89" t="s">
        <v>3039</v>
      </c>
      <c r="C3454" s="102" t="s">
        <v>1093</v>
      </c>
    </row>
    <row r="3455" spans="1:3" ht="15">
      <c r="A3455" s="90" t="s">
        <v>306</v>
      </c>
      <c r="B3455" s="89" t="s">
        <v>3040</v>
      </c>
      <c r="C3455" s="102" t="s">
        <v>1093</v>
      </c>
    </row>
    <row r="3456" spans="1:3" ht="15">
      <c r="A3456" s="90" t="s">
        <v>306</v>
      </c>
      <c r="B3456" s="89" t="s">
        <v>3041</v>
      </c>
      <c r="C3456" s="102" t="s">
        <v>1093</v>
      </c>
    </row>
    <row r="3457" spans="1:3" ht="15">
      <c r="A3457" s="90" t="s">
        <v>306</v>
      </c>
      <c r="B3457" s="89" t="s">
        <v>3204</v>
      </c>
      <c r="C3457" s="102" t="s">
        <v>1093</v>
      </c>
    </row>
    <row r="3458" spans="1:3" ht="15">
      <c r="A3458" s="90" t="s">
        <v>306</v>
      </c>
      <c r="B3458" s="89" t="s">
        <v>3141</v>
      </c>
      <c r="C3458" s="102" t="s">
        <v>1093</v>
      </c>
    </row>
    <row r="3459" spans="1:3" ht="15">
      <c r="A3459" s="90" t="s">
        <v>306</v>
      </c>
      <c r="B3459" s="89" t="s">
        <v>2746</v>
      </c>
      <c r="C3459" s="102" t="s">
        <v>1093</v>
      </c>
    </row>
    <row r="3460" spans="1:3" ht="15">
      <c r="A3460" s="90" t="s">
        <v>306</v>
      </c>
      <c r="B3460" s="89" t="s">
        <v>3137</v>
      </c>
      <c r="C3460" s="102" t="s">
        <v>1093</v>
      </c>
    </row>
    <row r="3461" spans="1:3" ht="15">
      <c r="A3461" s="90" t="s">
        <v>306</v>
      </c>
      <c r="B3461" s="89" t="s">
        <v>2897</v>
      </c>
      <c r="C3461" s="102" t="s">
        <v>1093</v>
      </c>
    </row>
    <row r="3462" spans="1:3" ht="15">
      <c r="A3462" s="90" t="s">
        <v>306</v>
      </c>
      <c r="B3462" s="89" t="s">
        <v>2681</v>
      </c>
      <c r="C3462" s="102" t="s">
        <v>1093</v>
      </c>
    </row>
    <row r="3463" spans="1:3" ht="15">
      <c r="A3463" s="90" t="s">
        <v>306</v>
      </c>
      <c r="B3463" s="89" t="s">
        <v>4136</v>
      </c>
      <c r="C3463" s="102" t="s">
        <v>1093</v>
      </c>
    </row>
    <row r="3464" spans="1:3" ht="15">
      <c r="A3464" s="90" t="s">
        <v>306</v>
      </c>
      <c r="B3464" s="89" t="s">
        <v>3979</v>
      </c>
      <c r="C3464" s="102" t="s">
        <v>1093</v>
      </c>
    </row>
    <row r="3465" spans="1:3" ht="15">
      <c r="A3465" s="90" t="s">
        <v>306</v>
      </c>
      <c r="B3465" s="89" t="s">
        <v>3724</v>
      </c>
      <c r="C3465" s="102" t="s">
        <v>1093</v>
      </c>
    </row>
    <row r="3466" spans="1:3" ht="15">
      <c r="A3466" s="90" t="s">
        <v>306</v>
      </c>
      <c r="B3466" s="89" t="s">
        <v>3042</v>
      </c>
      <c r="C3466" s="102" t="s">
        <v>1093</v>
      </c>
    </row>
    <row r="3467" spans="1:3" ht="15">
      <c r="A3467" s="90" t="s">
        <v>306</v>
      </c>
      <c r="B3467" s="89" t="s">
        <v>3211</v>
      </c>
      <c r="C3467" s="102" t="s">
        <v>1093</v>
      </c>
    </row>
    <row r="3468" spans="1:3" ht="15">
      <c r="A3468" s="90" t="s">
        <v>306</v>
      </c>
      <c r="B3468" s="89" t="s">
        <v>3484</v>
      </c>
      <c r="C3468" s="102" t="s">
        <v>1093</v>
      </c>
    </row>
    <row r="3469" spans="1:3" ht="15">
      <c r="A3469" s="90" t="s">
        <v>306</v>
      </c>
      <c r="B3469" s="89" t="s">
        <v>2731</v>
      </c>
      <c r="C3469" s="102" t="s">
        <v>1093</v>
      </c>
    </row>
    <row r="3470" spans="1:3" ht="15">
      <c r="A3470" s="90" t="s">
        <v>274</v>
      </c>
      <c r="B3470" s="89" t="s">
        <v>434</v>
      </c>
      <c r="C3470" s="102" t="s">
        <v>1035</v>
      </c>
    </row>
    <row r="3471" spans="1:3" ht="15">
      <c r="A3471" s="90" t="s">
        <v>274</v>
      </c>
      <c r="B3471" s="89" t="s">
        <v>3227</v>
      </c>
      <c r="C3471" s="102" t="s">
        <v>1035</v>
      </c>
    </row>
    <row r="3472" spans="1:3" ht="15">
      <c r="A3472" s="90" t="s">
        <v>274</v>
      </c>
      <c r="B3472" s="89" t="s">
        <v>3036</v>
      </c>
      <c r="C3472" s="102" t="s">
        <v>1035</v>
      </c>
    </row>
    <row r="3473" spans="1:3" ht="15">
      <c r="A3473" s="90" t="s">
        <v>274</v>
      </c>
      <c r="B3473" s="89" t="s">
        <v>2785</v>
      </c>
      <c r="C3473" s="102" t="s">
        <v>1035</v>
      </c>
    </row>
    <row r="3474" spans="1:3" ht="15">
      <c r="A3474" s="90" t="s">
        <v>274</v>
      </c>
      <c r="B3474" s="89" t="s">
        <v>3716</v>
      </c>
      <c r="C3474" s="102" t="s">
        <v>1035</v>
      </c>
    </row>
    <row r="3475" spans="1:3" ht="15">
      <c r="A3475" s="90" t="s">
        <v>274</v>
      </c>
      <c r="B3475" s="89" t="s">
        <v>3037</v>
      </c>
      <c r="C3475" s="102" t="s">
        <v>1035</v>
      </c>
    </row>
    <row r="3476" spans="1:3" ht="15">
      <c r="A3476" s="90" t="s">
        <v>274</v>
      </c>
      <c r="B3476" s="89" t="s">
        <v>3038</v>
      </c>
      <c r="C3476" s="102" t="s">
        <v>1035</v>
      </c>
    </row>
    <row r="3477" spans="1:3" ht="15">
      <c r="A3477" s="90" t="s">
        <v>274</v>
      </c>
      <c r="B3477" s="89" t="s">
        <v>3039</v>
      </c>
      <c r="C3477" s="102" t="s">
        <v>1035</v>
      </c>
    </row>
    <row r="3478" spans="1:3" ht="15">
      <c r="A3478" s="90" t="s">
        <v>274</v>
      </c>
      <c r="B3478" s="89" t="s">
        <v>3040</v>
      </c>
      <c r="C3478" s="102" t="s">
        <v>1035</v>
      </c>
    </row>
    <row r="3479" spans="1:3" ht="15">
      <c r="A3479" s="90" t="s">
        <v>274</v>
      </c>
      <c r="B3479" s="89" t="s">
        <v>3041</v>
      </c>
      <c r="C3479" s="102" t="s">
        <v>1035</v>
      </c>
    </row>
    <row r="3480" spans="1:3" ht="15">
      <c r="A3480" s="90" t="s">
        <v>274</v>
      </c>
      <c r="B3480" s="89" t="s">
        <v>3204</v>
      </c>
      <c r="C3480" s="102" t="s">
        <v>1035</v>
      </c>
    </row>
    <row r="3481" spans="1:3" ht="15">
      <c r="A3481" s="90" t="s">
        <v>274</v>
      </c>
      <c r="B3481" s="89" t="s">
        <v>3141</v>
      </c>
      <c r="C3481" s="102" t="s">
        <v>1035</v>
      </c>
    </row>
    <row r="3482" spans="1:3" ht="15">
      <c r="A3482" s="90" t="s">
        <v>274</v>
      </c>
      <c r="B3482" s="89" t="s">
        <v>2746</v>
      </c>
      <c r="C3482" s="102" t="s">
        <v>1035</v>
      </c>
    </row>
    <row r="3483" spans="1:3" ht="15">
      <c r="A3483" s="90" t="s">
        <v>274</v>
      </c>
      <c r="B3483" s="89" t="s">
        <v>3137</v>
      </c>
      <c r="C3483" s="102" t="s">
        <v>1035</v>
      </c>
    </row>
    <row r="3484" spans="1:3" ht="15">
      <c r="A3484" s="90" t="s">
        <v>274</v>
      </c>
      <c r="B3484" s="89" t="s">
        <v>2897</v>
      </c>
      <c r="C3484" s="102" t="s">
        <v>1035</v>
      </c>
    </row>
    <row r="3485" spans="1:3" ht="15">
      <c r="A3485" s="90" t="s">
        <v>274</v>
      </c>
      <c r="B3485" s="89" t="s">
        <v>2681</v>
      </c>
      <c r="C3485" s="102" t="s">
        <v>1035</v>
      </c>
    </row>
    <row r="3486" spans="1:3" ht="15">
      <c r="A3486" s="90" t="s">
        <v>274</v>
      </c>
      <c r="B3486" s="89" t="s">
        <v>4136</v>
      </c>
      <c r="C3486" s="102" t="s">
        <v>1035</v>
      </c>
    </row>
    <row r="3487" spans="1:3" ht="15">
      <c r="A3487" s="90" t="s">
        <v>274</v>
      </c>
      <c r="B3487" s="89" t="s">
        <v>3979</v>
      </c>
      <c r="C3487" s="102" t="s">
        <v>1035</v>
      </c>
    </row>
    <row r="3488" spans="1:3" ht="15">
      <c r="A3488" s="90" t="s">
        <v>274</v>
      </c>
      <c r="B3488" s="89" t="s">
        <v>3724</v>
      </c>
      <c r="C3488" s="102" t="s">
        <v>1035</v>
      </c>
    </row>
    <row r="3489" spans="1:3" ht="15">
      <c r="A3489" s="90" t="s">
        <v>274</v>
      </c>
      <c r="B3489" s="89" t="s">
        <v>3042</v>
      </c>
      <c r="C3489" s="102" t="s">
        <v>1035</v>
      </c>
    </row>
    <row r="3490" spans="1:3" ht="15">
      <c r="A3490" s="90" t="s">
        <v>274</v>
      </c>
      <c r="B3490" s="89" t="s">
        <v>3211</v>
      </c>
      <c r="C3490" s="102" t="s">
        <v>1035</v>
      </c>
    </row>
    <row r="3491" spans="1:3" ht="15">
      <c r="A3491" s="90" t="s">
        <v>274</v>
      </c>
      <c r="B3491" s="89" t="s">
        <v>3484</v>
      </c>
      <c r="C3491" s="102" t="s">
        <v>1035</v>
      </c>
    </row>
    <row r="3492" spans="1:3" ht="15">
      <c r="A3492" s="90" t="s">
        <v>274</v>
      </c>
      <c r="B3492" s="89" t="s">
        <v>2731</v>
      </c>
      <c r="C3492" s="102" t="s">
        <v>1035</v>
      </c>
    </row>
    <row r="3493" spans="1:3" ht="15">
      <c r="A3493" s="90" t="s">
        <v>374</v>
      </c>
      <c r="B3493" s="89" t="s">
        <v>434</v>
      </c>
      <c r="C3493" s="102" t="s">
        <v>1212</v>
      </c>
    </row>
    <row r="3494" spans="1:3" ht="15">
      <c r="A3494" s="90" t="s">
        <v>374</v>
      </c>
      <c r="B3494" s="89" t="s">
        <v>3204</v>
      </c>
      <c r="C3494" s="102" t="s">
        <v>1212</v>
      </c>
    </row>
    <row r="3495" spans="1:3" ht="15">
      <c r="A3495" s="90" t="s">
        <v>374</v>
      </c>
      <c r="B3495" s="89" t="s">
        <v>3141</v>
      </c>
      <c r="C3495" s="102" t="s">
        <v>1212</v>
      </c>
    </row>
    <row r="3496" spans="1:3" ht="15">
      <c r="A3496" s="90" t="s">
        <v>374</v>
      </c>
      <c r="B3496" s="89" t="s">
        <v>3475</v>
      </c>
      <c r="C3496" s="102" t="s">
        <v>1212</v>
      </c>
    </row>
    <row r="3497" spans="1:3" ht="15">
      <c r="A3497" s="90" t="s">
        <v>374</v>
      </c>
      <c r="B3497" s="89" t="s">
        <v>3630</v>
      </c>
      <c r="C3497" s="102" t="s">
        <v>1212</v>
      </c>
    </row>
    <row r="3498" spans="1:3" ht="15">
      <c r="A3498" s="90" t="s">
        <v>374</v>
      </c>
      <c r="B3498" s="89" t="s">
        <v>2892</v>
      </c>
      <c r="C3498" s="102" t="s">
        <v>1212</v>
      </c>
    </row>
    <row r="3499" spans="1:3" ht="15">
      <c r="A3499" s="90" t="s">
        <v>374</v>
      </c>
      <c r="B3499" s="89" t="s">
        <v>2893</v>
      </c>
      <c r="C3499" s="102" t="s">
        <v>1212</v>
      </c>
    </row>
    <row r="3500" spans="1:3" ht="15">
      <c r="A3500" s="90" t="s">
        <v>374</v>
      </c>
      <c r="B3500" s="89" t="s">
        <v>3978</v>
      </c>
      <c r="C3500" s="102" t="s">
        <v>1212</v>
      </c>
    </row>
    <row r="3501" spans="1:3" ht="15">
      <c r="A3501" s="90" t="s">
        <v>374</v>
      </c>
      <c r="B3501" s="89" t="s">
        <v>3155</v>
      </c>
      <c r="C3501" s="102" t="s">
        <v>1212</v>
      </c>
    </row>
    <row r="3502" spans="1:3" ht="15">
      <c r="A3502" s="90" t="s">
        <v>374</v>
      </c>
      <c r="B3502" s="89" t="s">
        <v>3309</v>
      </c>
      <c r="C3502" s="102" t="s">
        <v>1212</v>
      </c>
    </row>
    <row r="3503" spans="1:3" ht="15">
      <c r="A3503" s="90" t="s">
        <v>374</v>
      </c>
      <c r="B3503" s="89" t="s">
        <v>3979</v>
      </c>
      <c r="C3503" s="102" t="s">
        <v>1212</v>
      </c>
    </row>
    <row r="3504" spans="1:3" ht="15">
      <c r="A3504" s="90" t="s">
        <v>374</v>
      </c>
      <c r="B3504" s="89" t="s">
        <v>2894</v>
      </c>
      <c r="C3504" s="102" t="s">
        <v>1212</v>
      </c>
    </row>
    <row r="3505" spans="1:3" ht="15">
      <c r="A3505" s="90" t="s">
        <v>374</v>
      </c>
      <c r="B3505" s="89" t="s">
        <v>2895</v>
      </c>
      <c r="C3505" s="102" t="s">
        <v>1212</v>
      </c>
    </row>
    <row r="3506" spans="1:3" ht="15">
      <c r="A3506" s="90" t="s">
        <v>374</v>
      </c>
      <c r="B3506" s="89" t="s">
        <v>2896</v>
      </c>
      <c r="C3506" s="102" t="s">
        <v>1212</v>
      </c>
    </row>
    <row r="3507" spans="1:3" ht="15">
      <c r="A3507" s="90" t="s">
        <v>274</v>
      </c>
      <c r="B3507" s="89" t="s">
        <v>434</v>
      </c>
      <c r="C3507" s="102" t="s">
        <v>1033</v>
      </c>
    </row>
    <row r="3508" spans="1:3" ht="15">
      <c r="A3508" s="90" t="s">
        <v>274</v>
      </c>
      <c r="B3508" s="89" t="s">
        <v>3204</v>
      </c>
      <c r="C3508" s="102" t="s">
        <v>1033</v>
      </c>
    </row>
    <row r="3509" spans="1:3" ht="15">
      <c r="A3509" s="90" t="s">
        <v>274</v>
      </c>
      <c r="B3509" s="89" t="s">
        <v>3141</v>
      </c>
      <c r="C3509" s="102" t="s">
        <v>1033</v>
      </c>
    </row>
    <row r="3510" spans="1:3" ht="15">
      <c r="A3510" s="90" t="s">
        <v>274</v>
      </c>
      <c r="B3510" s="89" t="s">
        <v>3475</v>
      </c>
      <c r="C3510" s="102" t="s">
        <v>1033</v>
      </c>
    </row>
    <row r="3511" spans="1:3" ht="15">
      <c r="A3511" s="90" t="s">
        <v>274</v>
      </c>
      <c r="B3511" s="89" t="s">
        <v>3630</v>
      </c>
      <c r="C3511" s="102" t="s">
        <v>1033</v>
      </c>
    </row>
    <row r="3512" spans="1:3" ht="15">
      <c r="A3512" s="90" t="s">
        <v>274</v>
      </c>
      <c r="B3512" s="89" t="s">
        <v>2892</v>
      </c>
      <c r="C3512" s="102" t="s">
        <v>1033</v>
      </c>
    </row>
    <row r="3513" spans="1:3" ht="15">
      <c r="A3513" s="90" t="s">
        <v>274</v>
      </c>
      <c r="B3513" s="89" t="s">
        <v>2893</v>
      </c>
      <c r="C3513" s="102" t="s">
        <v>1033</v>
      </c>
    </row>
    <row r="3514" spans="1:3" ht="15">
      <c r="A3514" s="90" t="s">
        <v>274</v>
      </c>
      <c r="B3514" s="89" t="s">
        <v>3978</v>
      </c>
      <c r="C3514" s="102" t="s">
        <v>1033</v>
      </c>
    </row>
    <row r="3515" spans="1:3" ht="15">
      <c r="A3515" s="90" t="s">
        <v>274</v>
      </c>
      <c r="B3515" s="89" t="s">
        <v>3155</v>
      </c>
      <c r="C3515" s="102" t="s">
        <v>1033</v>
      </c>
    </row>
    <row r="3516" spans="1:3" ht="15">
      <c r="A3516" s="90" t="s">
        <v>274</v>
      </c>
      <c r="B3516" s="89" t="s">
        <v>3309</v>
      </c>
      <c r="C3516" s="102" t="s">
        <v>1033</v>
      </c>
    </row>
    <row r="3517" spans="1:3" ht="15">
      <c r="A3517" s="90" t="s">
        <v>274</v>
      </c>
      <c r="B3517" s="89" t="s">
        <v>3979</v>
      </c>
      <c r="C3517" s="102" t="s">
        <v>1033</v>
      </c>
    </row>
    <row r="3518" spans="1:3" ht="15">
      <c r="A3518" s="90" t="s">
        <v>274</v>
      </c>
      <c r="B3518" s="89" t="s">
        <v>2894</v>
      </c>
      <c r="C3518" s="102" t="s">
        <v>1033</v>
      </c>
    </row>
    <row r="3519" spans="1:3" ht="15">
      <c r="A3519" s="90" t="s">
        <v>274</v>
      </c>
      <c r="B3519" s="89" t="s">
        <v>2895</v>
      </c>
      <c r="C3519" s="102" t="s">
        <v>1033</v>
      </c>
    </row>
    <row r="3520" spans="1:3" ht="15">
      <c r="A3520" s="90" t="s">
        <v>274</v>
      </c>
      <c r="B3520" s="89" t="s">
        <v>2896</v>
      </c>
      <c r="C3520" s="102" t="s">
        <v>1033</v>
      </c>
    </row>
    <row r="3521" spans="1:3" ht="15">
      <c r="A3521" s="90" t="s">
        <v>274</v>
      </c>
      <c r="B3521" s="89" t="s">
        <v>3307</v>
      </c>
      <c r="C3521" s="102" t="s">
        <v>1036</v>
      </c>
    </row>
    <row r="3522" spans="1:3" ht="15">
      <c r="A3522" s="90" t="s">
        <v>274</v>
      </c>
      <c r="B3522" s="89" t="s">
        <v>3152</v>
      </c>
      <c r="C3522" s="102" t="s">
        <v>1036</v>
      </c>
    </row>
    <row r="3523" spans="1:3" ht="15">
      <c r="A3523" s="90" t="s">
        <v>274</v>
      </c>
      <c r="B3523" s="89" t="s">
        <v>3141</v>
      </c>
      <c r="C3523" s="102" t="s">
        <v>1036</v>
      </c>
    </row>
    <row r="3524" spans="1:3" ht="15">
      <c r="A3524" s="90" t="s">
        <v>274</v>
      </c>
      <c r="B3524" s="89" t="s">
        <v>2678</v>
      </c>
      <c r="C3524" s="102" t="s">
        <v>1036</v>
      </c>
    </row>
    <row r="3525" spans="1:3" ht="15">
      <c r="A3525" s="90" t="s">
        <v>274</v>
      </c>
      <c r="B3525" s="89" t="s">
        <v>2676</v>
      </c>
      <c r="C3525" s="102" t="s">
        <v>1036</v>
      </c>
    </row>
    <row r="3526" spans="1:3" ht="15">
      <c r="A3526" s="90" t="s">
        <v>274</v>
      </c>
      <c r="B3526" s="89" t="s">
        <v>3308</v>
      </c>
      <c r="C3526" s="102" t="s">
        <v>1036</v>
      </c>
    </row>
    <row r="3527" spans="1:3" ht="15">
      <c r="A3527" s="90" t="s">
        <v>274</v>
      </c>
      <c r="B3527" s="89" t="s">
        <v>3205</v>
      </c>
      <c r="C3527" s="102" t="s">
        <v>1036</v>
      </c>
    </row>
    <row r="3528" spans="1:3" ht="15">
      <c r="A3528" s="90" t="s">
        <v>274</v>
      </c>
      <c r="B3528" s="89" t="s">
        <v>3155</v>
      </c>
      <c r="C3528" s="102" t="s">
        <v>1036</v>
      </c>
    </row>
    <row r="3529" spans="1:3" ht="15">
      <c r="A3529" s="90" t="s">
        <v>274</v>
      </c>
      <c r="B3529" s="89" t="s">
        <v>3309</v>
      </c>
      <c r="C3529" s="102" t="s">
        <v>1036</v>
      </c>
    </row>
    <row r="3530" spans="1:3" ht="15">
      <c r="A3530" s="90" t="s">
        <v>274</v>
      </c>
      <c r="B3530" s="89" t="s">
        <v>2679</v>
      </c>
      <c r="C3530" s="102" t="s">
        <v>1036</v>
      </c>
    </row>
    <row r="3531" spans="1:3" ht="15">
      <c r="A3531" s="90" t="s">
        <v>274</v>
      </c>
      <c r="B3531" s="89" t="s">
        <v>712</v>
      </c>
      <c r="C3531" s="102" t="s">
        <v>1036</v>
      </c>
    </row>
    <row r="3532" spans="1:3" ht="15">
      <c r="A3532" s="90" t="s">
        <v>274</v>
      </c>
      <c r="B3532" s="89" t="s">
        <v>431</v>
      </c>
      <c r="C3532" s="102" t="s">
        <v>1036</v>
      </c>
    </row>
    <row r="3533" spans="1:3" ht="15">
      <c r="A3533" s="90" t="s">
        <v>274</v>
      </c>
      <c r="B3533" s="89" t="s">
        <v>3310</v>
      </c>
      <c r="C3533" s="102" t="s">
        <v>1036</v>
      </c>
    </row>
    <row r="3534" spans="1:3" ht="15">
      <c r="A3534" s="90" t="s">
        <v>274</v>
      </c>
      <c r="B3534" s="89" t="s">
        <v>4137</v>
      </c>
      <c r="C3534" s="102" t="s">
        <v>1034</v>
      </c>
    </row>
    <row r="3535" spans="1:3" ht="15">
      <c r="A3535" s="90" t="s">
        <v>274</v>
      </c>
      <c r="B3535" s="89" t="s">
        <v>2666</v>
      </c>
      <c r="C3535" s="102" t="s">
        <v>1034</v>
      </c>
    </row>
    <row r="3536" spans="1:3" ht="15">
      <c r="A3536" s="90" t="s">
        <v>274</v>
      </c>
      <c r="B3536" s="89" t="s">
        <v>2664</v>
      </c>
      <c r="C3536" s="102" t="s">
        <v>1034</v>
      </c>
    </row>
    <row r="3537" spans="1:3" ht="15">
      <c r="A3537" s="90" t="s">
        <v>274</v>
      </c>
      <c r="B3537" s="89" t="s">
        <v>3356</v>
      </c>
      <c r="C3537" s="102" t="s">
        <v>1034</v>
      </c>
    </row>
    <row r="3538" spans="1:3" ht="15">
      <c r="A3538" s="90" t="s">
        <v>274</v>
      </c>
      <c r="B3538" s="89" t="s">
        <v>2667</v>
      </c>
      <c r="C3538" s="102" t="s">
        <v>1034</v>
      </c>
    </row>
    <row r="3539" spans="1:3" ht="15">
      <c r="A3539" s="90" t="s">
        <v>274</v>
      </c>
      <c r="B3539" s="89" t="s">
        <v>2663</v>
      </c>
      <c r="C3539" s="102" t="s">
        <v>1034</v>
      </c>
    </row>
    <row r="3540" spans="1:3" ht="15">
      <c r="A3540" s="90" t="s">
        <v>274</v>
      </c>
      <c r="B3540" s="89" t="s">
        <v>3137</v>
      </c>
      <c r="C3540" s="102" t="s">
        <v>1034</v>
      </c>
    </row>
    <row r="3541" spans="1:3" ht="15">
      <c r="A3541" s="90" t="s">
        <v>274</v>
      </c>
      <c r="B3541" s="89" t="s">
        <v>712</v>
      </c>
      <c r="C3541" s="102" t="s">
        <v>1034</v>
      </c>
    </row>
    <row r="3542" spans="1:3" ht="15">
      <c r="A3542" s="90" t="s">
        <v>274</v>
      </c>
      <c r="B3542" s="89" t="s">
        <v>3692</v>
      </c>
      <c r="C3542" s="102" t="s">
        <v>1034</v>
      </c>
    </row>
    <row r="3543" spans="1:3" ht="15">
      <c r="A3543" s="90" t="s">
        <v>274</v>
      </c>
      <c r="B3543" s="89" t="s">
        <v>3044</v>
      </c>
      <c r="C3543" s="102" t="s">
        <v>1034</v>
      </c>
    </row>
    <row r="3544" spans="1:3" ht="15">
      <c r="A3544" s="90" t="s">
        <v>274</v>
      </c>
      <c r="B3544" s="89" t="s">
        <v>2668</v>
      </c>
      <c r="C3544" s="102" t="s">
        <v>1034</v>
      </c>
    </row>
    <row r="3545" spans="1:3" ht="15">
      <c r="A3545" s="90" t="s">
        <v>274</v>
      </c>
      <c r="B3545" s="89" t="s">
        <v>2875</v>
      </c>
      <c r="C3545" s="102" t="s">
        <v>1034</v>
      </c>
    </row>
    <row r="3546" spans="1:3" ht="15">
      <c r="A3546" s="90" t="s">
        <v>274</v>
      </c>
      <c r="B3546" s="89" t="s">
        <v>3980</v>
      </c>
      <c r="C3546" s="102" t="s">
        <v>1032</v>
      </c>
    </row>
    <row r="3547" spans="1:3" ht="15">
      <c r="A3547" s="90" t="s">
        <v>274</v>
      </c>
      <c r="B3547" s="89" t="s">
        <v>3981</v>
      </c>
      <c r="C3547" s="102" t="s">
        <v>1032</v>
      </c>
    </row>
    <row r="3548" spans="1:3" ht="15">
      <c r="A3548" s="90" t="s">
        <v>274</v>
      </c>
      <c r="B3548" s="89" t="s">
        <v>3982</v>
      </c>
      <c r="C3548" s="102" t="s">
        <v>1032</v>
      </c>
    </row>
    <row r="3549" spans="1:3" ht="15">
      <c r="A3549" s="90" t="s">
        <v>274</v>
      </c>
      <c r="B3549" s="89" t="s">
        <v>2794</v>
      </c>
      <c r="C3549" s="102" t="s">
        <v>1032</v>
      </c>
    </row>
    <row r="3550" spans="1:3" ht="15">
      <c r="A3550" s="90" t="s">
        <v>274</v>
      </c>
      <c r="B3550" s="89" t="s">
        <v>3536</v>
      </c>
      <c r="C3550" s="102" t="s">
        <v>1032</v>
      </c>
    </row>
    <row r="3551" spans="1:3" ht="15">
      <c r="A3551" s="90" t="s">
        <v>274</v>
      </c>
      <c r="B3551" s="89" t="s">
        <v>2795</v>
      </c>
      <c r="C3551" s="102" t="s">
        <v>1032</v>
      </c>
    </row>
    <row r="3552" spans="1:3" ht="15">
      <c r="A3552" s="90" t="s">
        <v>274</v>
      </c>
      <c r="B3552" s="89" t="s">
        <v>3180</v>
      </c>
      <c r="C3552" s="102" t="s">
        <v>1032</v>
      </c>
    </row>
    <row r="3553" spans="1:3" ht="15">
      <c r="A3553" s="90" t="s">
        <v>274</v>
      </c>
      <c r="B3553" s="89" t="s">
        <v>2796</v>
      </c>
      <c r="C3553" s="102" t="s">
        <v>1032</v>
      </c>
    </row>
    <row r="3554" spans="1:3" ht="15">
      <c r="A3554" s="90" t="s">
        <v>274</v>
      </c>
      <c r="B3554" s="89" t="s">
        <v>2741</v>
      </c>
      <c r="C3554" s="102" t="s">
        <v>1032</v>
      </c>
    </row>
    <row r="3555" spans="1:3" ht="15">
      <c r="A3555" s="90" t="s">
        <v>274</v>
      </c>
      <c r="B3555" s="89" t="s">
        <v>2797</v>
      </c>
      <c r="C3555" s="102" t="s">
        <v>1032</v>
      </c>
    </row>
    <row r="3556" spans="1:3" ht="15">
      <c r="A3556" s="90" t="s">
        <v>274</v>
      </c>
      <c r="B3556" s="89" t="s">
        <v>3153</v>
      </c>
      <c r="C3556" s="102" t="s">
        <v>1032</v>
      </c>
    </row>
    <row r="3557" spans="1:3" ht="15">
      <c r="A3557" s="90" t="s">
        <v>274</v>
      </c>
      <c r="B3557" s="89" t="s">
        <v>3201</v>
      </c>
      <c r="C3557" s="102" t="s">
        <v>1032</v>
      </c>
    </row>
    <row r="3558" spans="1:3" ht="15">
      <c r="A3558" s="90" t="s">
        <v>274</v>
      </c>
      <c r="B3558" s="89" t="s">
        <v>3155</v>
      </c>
      <c r="C3558" s="102" t="s">
        <v>1032</v>
      </c>
    </row>
    <row r="3559" spans="1:3" ht="15">
      <c r="A3559" s="90" t="s">
        <v>274</v>
      </c>
      <c r="B3559" s="89" t="s">
        <v>2798</v>
      </c>
      <c r="C3559" s="102" t="s">
        <v>1032</v>
      </c>
    </row>
    <row r="3560" spans="1:3" ht="15">
      <c r="A3560" s="90" t="s">
        <v>274</v>
      </c>
      <c r="B3560" s="89" t="s">
        <v>2759</v>
      </c>
      <c r="C3560" s="102" t="s">
        <v>1032</v>
      </c>
    </row>
    <row r="3561" spans="1:3" ht="15">
      <c r="A3561" s="90" t="s">
        <v>274</v>
      </c>
      <c r="B3561" s="89" t="s">
        <v>2758</v>
      </c>
      <c r="C3561" s="102" t="s">
        <v>1032</v>
      </c>
    </row>
    <row r="3562" spans="1:3" ht="15">
      <c r="A3562" s="90" t="s">
        <v>274</v>
      </c>
      <c r="B3562" s="89" t="s">
        <v>2745</v>
      </c>
      <c r="C3562" s="102" t="s">
        <v>1032</v>
      </c>
    </row>
    <row r="3563" spans="1:3" ht="15">
      <c r="A3563" s="90" t="s">
        <v>274</v>
      </c>
      <c r="B3563" s="89" t="s">
        <v>3145</v>
      </c>
      <c r="C3563" s="102" t="s">
        <v>1032</v>
      </c>
    </row>
    <row r="3564" spans="1:3" ht="15">
      <c r="A3564" s="90" t="s">
        <v>274</v>
      </c>
      <c r="B3564" s="89" t="s">
        <v>2799</v>
      </c>
      <c r="C3564" s="102" t="s">
        <v>1032</v>
      </c>
    </row>
    <row r="3565" spans="1:3" ht="15">
      <c r="A3565" s="90" t="s">
        <v>274</v>
      </c>
      <c r="B3565" s="89" t="s">
        <v>712</v>
      </c>
      <c r="C3565" s="102" t="s">
        <v>1032</v>
      </c>
    </row>
    <row r="3566" spans="1:3" ht="15">
      <c r="A3566" s="90" t="s">
        <v>274</v>
      </c>
      <c r="B3566" s="89" t="s">
        <v>3983</v>
      </c>
      <c r="C3566" s="102" t="s">
        <v>1032</v>
      </c>
    </row>
    <row r="3567" spans="1:3" ht="15">
      <c r="A3567" s="90" t="s">
        <v>274</v>
      </c>
      <c r="B3567" s="89" t="s">
        <v>3141</v>
      </c>
      <c r="C3567" s="102" t="s">
        <v>1032</v>
      </c>
    </row>
    <row r="3568" spans="1:3" ht="15">
      <c r="A3568" s="90" t="s">
        <v>274</v>
      </c>
      <c r="B3568" s="89" t="s">
        <v>2800</v>
      </c>
      <c r="C3568" s="102" t="s">
        <v>1032</v>
      </c>
    </row>
    <row r="3569" spans="1:3" ht="15">
      <c r="A3569" s="90" t="s">
        <v>274</v>
      </c>
      <c r="B3569" s="89" t="s">
        <v>2801</v>
      </c>
      <c r="C3569" s="102" t="s">
        <v>1032</v>
      </c>
    </row>
    <row r="3570" spans="1:3" ht="15">
      <c r="A3570" s="90" t="s">
        <v>274</v>
      </c>
      <c r="B3570" s="89" t="s">
        <v>2802</v>
      </c>
      <c r="C3570" s="102" t="s">
        <v>1032</v>
      </c>
    </row>
    <row r="3571" spans="1:3" ht="15">
      <c r="A3571" s="90" t="s">
        <v>274</v>
      </c>
      <c r="B3571" s="89" t="s">
        <v>2729</v>
      </c>
      <c r="C3571" s="102" t="s">
        <v>1032</v>
      </c>
    </row>
    <row r="3572" spans="1:3" ht="15">
      <c r="A3572" s="90" t="s">
        <v>274</v>
      </c>
      <c r="B3572" s="89" t="s">
        <v>2674</v>
      </c>
      <c r="C3572" s="102" t="s">
        <v>1032</v>
      </c>
    </row>
    <row r="3573" spans="1:3" ht="15">
      <c r="A3573" s="90" t="s">
        <v>274</v>
      </c>
      <c r="B3573" s="89" t="s">
        <v>2803</v>
      </c>
      <c r="C3573" s="102" t="s">
        <v>1032</v>
      </c>
    </row>
    <row r="3574" spans="1:3" ht="15">
      <c r="A3574" s="90" t="s">
        <v>274</v>
      </c>
      <c r="B3574" s="89" t="s">
        <v>2804</v>
      </c>
      <c r="C3574" s="102" t="s">
        <v>1032</v>
      </c>
    </row>
    <row r="3575" spans="1:3" ht="15">
      <c r="A3575" s="90" t="s">
        <v>349</v>
      </c>
      <c r="B3575" s="89" t="s">
        <v>3311</v>
      </c>
      <c r="C3575" s="102" t="s">
        <v>1179</v>
      </c>
    </row>
    <row r="3576" spans="1:3" ht="15">
      <c r="A3576" s="90" t="s">
        <v>349</v>
      </c>
      <c r="B3576" s="89" t="s">
        <v>3312</v>
      </c>
      <c r="C3576" s="102" t="s">
        <v>1179</v>
      </c>
    </row>
    <row r="3577" spans="1:3" ht="15">
      <c r="A3577" s="90" t="s">
        <v>349</v>
      </c>
      <c r="B3577" s="89" t="s">
        <v>2687</v>
      </c>
      <c r="C3577" s="102" t="s">
        <v>1179</v>
      </c>
    </row>
    <row r="3578" spans="1:3" ht="15">
      <c r="A3578" s="90" t="s">
        <v>349</v>
      </c>
      <c r="B3578" s="89" t="s">
        <v>2688</v>
      </c>
      <c r="C3578" s="102" t="s">
        <v>1179</v>
      </c>
    </row>
    <row r="3579" spans="1:3" ht="15">
      <c r="A3579" s="90" t="s">
        <v>349</v>
      </c>
      <c r="B3579" s="89" t="s">
        <v>2689</v>
      </c>
      <c r="C3579" s="102" t="s">
        <v>1179</v>
      </c>
    </row>
    <row r="3580" spans="1:3" ht="15">
      <c r="A3580" s="90" t="s">
        <v>349</v>
      </c>
      <c r="B3580" s="89" t="s">
        <v>2690</v>
      </c>
      <c r="C3580" s="102" t="s">
        <v>1179</v>
      </c>
    </row>
    <row r="3581" spans="1:3" ht="15">
      <c r="A3581" s="90" t="s">
        <v>349</v>
      </c>
      <c r="B3581" s="89" t="s">
        <v>2691</v>
      </c>
      <c r="C3581" s="102" t="s">
        <v>1179</v>
      </c>
    </row>
    <row r="3582" spans="1:3" ht="15">
      <c r="A3582" s="90" t="s">
        <v>349</v>
      </c>
      <c r="B3582" s="89" t="s">
        <v>2692</v>
      </c>
      <c r="C3582" s="102" t="s">
        <v>1179</v>
      </c>
    </row>
    <row r="3583" spans="1:3" ht="15">
      <c r="A3583" s="90" t="s">
        <v>349</v>
      </c>
      <c r="B3583" s="89" t="s">
        <v>2693</v>
      </c>
      <c r="C3583" s="102" t="s">
        <v>1179</v>
      </c>
    </row>
    <row r="3584" spans="1:3" ht="15">
      <c r="A3584" s="90" t="s">
        <v>349</v>
      </c>
      <c r="B3584" s="89" t="s">
        <v>3313</v>
      </c>
      <c r="C3584" s="102" t="s">
        <v>1179</v>
      </c>
    </row>
    <row r="3585" spans="1:3" ht="15">
      <c r="A3585" s="90" t="s">
        <v>349</v>
      </c>
      <c r="B3585" s="89" t="s">
        <v>2694</v>
      </c>
      <c r="C3585" s="102" t="s">
        <v>1179</v>
      </c>
    </row>
    <row r="3586" spans="1:3" ht="15">
      <c r="A3586" s="90" t="s">
        <v>349</v>
      </c>
      <c r="B3586" s="89" t="s">
        <v>3137</v>
      </c>
      <c r="C3586" s="102" t="s">
        <v>1179</v>
      </c>
    </row>
    <row r="3587" spans="1:3" ht="15">
      <c r="A3587" s="90" t="s">
        <v>349</v>
      </c>
      <c r="B3587" s="89" t="s">
        <v>2695</v>
      </c>
      <c r="C3587" s="102" t="s">
        <v>1179</v>
      </c>
    </row>
    <row r="3588" spans="1:3" ht="15">
      <c r="A3588" s="90" t="s">
        <v>349</v>
      </c>
      <c r="B3588" s="89" t="s">
        <v>2696</v>
      </c>
      <c r="C3588" s="102" t="s">
        <v>1179</v>
      </c>
    </row>
    <row r="3589" spans="1:3" ht="15">
      <c r="A3589" s="90" t="s">
        <v>349</v>
      </c>
      <c r="B3589" s="89" t="s">
        <v>3314</v>
      </c>
      <c r="C3589" s="102" t="s">
        <v>1179</v>
      </c>
    </row>
    <row r="3590" spans="1:3" ht="15">
      <c r="A3590" s="90" t="s">
        <v>349</v>
      </c>
      <c r="B3590" s="89" t="s">
        <v>712</v>
      </c>
      <c r="C3590" s="102" t="s">
        <v>1179</v>
      </c>
    </row>
    <row r="3591" spans="1:3" ht="15">
      <c r="A3591" s="90" t="s">
        <v>349</v>
      </c>
      <c r="B3591" s="89" t="s">
        <v>3315</v>
      </c>
      <c r="C3591" s="102" t="s">
        <v>1179</v>
      </c>
    </row>
    <row r="3592" spans="1:3" ht="15">
      <c r="A3592" s="90" t="s">
        <v>349</v>
      </c>
      <c r="B3592" s="89" t="s">
        <v>2699</v>
      </c>
      <c r="C3592" s="102" t="s">
        <v>1179</v>
      </c>
    </row>
    <row r="3593" spans="1:3" ht="15">
      <c r="A3593" s="90" t="s">
        <v>349</v>
      </c>
      <c r="B3593" s="89" t="s">
        <v>2700</v>
      </c>
      <c r="C3593" s="102" t="s">
        <v>1179</v>
      </c>
    </row>
    <row r="3594" spans="1:3" ht="15">
      <c r="A3594" s="90" t="s">
        <v>349</v>
      </c>
      <c r="B3594" s="89" t="s">
        <v>2701</v>
      </c>
      <c r="C3594" s="102" t="s">
        <v>1179</v>
      </c>
    </row>
    <row r="3595" spans="1:3" ht="15">
      <c r="A3595" s="90" t="s">
        <v>349</v>
      </c>
      <c r="B3595" s="89" t="s">
        <v>3316</v>
      </c>
      <c r="C3595" s="102" t="s">
        <v>1179</v>
      </c>
    </row>
    <row r="3596" spans="1:3" ht="15">
      <c r="A3596" s="90" t="s">
        <v>349</v>
      </c>
      <c r="B3596" s="89" t="s">
        <v>2680</v>
      </c>
      <c r="C3596" s="102" t="s">
        <v>1179</v>
      </c>
    </row>
    <row r="3597" spans="1:3" ht="15">
      <c r="A3597" s="90" t="s">
        <v>349</v>
      </c>
      <c r="B3597" s="89" t="s">
        <v>2702</v>
      </c>
      <c r="C3597" s="102" t="s">
        <v>1179</v>
      </c>
    </row>
    <row r="3598" spans="1:3" ht="15">
      <c r="A3598" s="90" t="s">
        <v>349</v>
      </c>
      <c r="B3598" s="89" t="s">
        <v>2703</v>
      </c>
      <c r="C3598" s="102" t="s">
        <v>1179</v>
      </c>
    </row>
    <row r="3599" spans="1:3" ht="15">
      <c r="A3599" s="90" t="s">
        <v>349</v>
      </c>
      <c r="B3599" s="89" t="s">
        <v>3317</v>
      </c>
      <c r="C3599" s="102" t="s">
        <v>1179</v>
      </c>
    </row>
    <row r="3600" spans="1:3" ht="15">
      <c r="A3600" s="90" t="s">
        <v>349</v>
      </c>
      <c r="B3600" s="89" t="s">
        <v>3318</v>
      </c>
      <c r="C3600" s="102" t="s">
        <v>1179</v>
      </c>
    </row>
    <row r="3601" spans="1:3" ht="15">
      <c r="A3601" s="90" t="s">
        <v>349</v>
      </c>
      <c r="B3601" s="89" t="s">
        <v>226</v>
      </c>
      <c r="C3601" s="102" t="s">
        <v>1179</v>
      </c>
    </row>
    <row r="3602" spans="1:3" ht="15">
      <c r="A3602" s="90" t="s">
        <v>349</v>
      </c>
      <c r="B3602" s="89" t="s">
        <v>3311</v>
      </c>
      <c r="C3602" s="102" t="s">
        <v>1178</v>
      </c>
    </row>
    <row r="3603" spans="1:3" ht="15">
      <c r="A3603" s="90" t="s">
        <v>349</v>
      </c>
      <c r="B3603" s="89" t="s">
        <v>3312</v>
      </c>
      <c r="C3603" s="102" t="s">
        <v>1178</v>
      </c>
    </row>
    <row r="3604" spans="1:3" ht="15">
      <c r="A3604" s="90" t="s">
        <v>349</v>
      </c>
      <c r="B3604" s="89" t="s">
        <v>2687</v>
      </c>
      <c r="C3604" s="102" t="s">
        <v>1178</v>
      </c>
    </row>
    <row r="3605" spans="1:3" ht="15">
      <c r="A3605" s="90" t="s">
        <v>349</v>
      </c>
      <c r="B3605" s="89" t="s">
        <v>2688</v>
      </c>
      <c r="C3605" s="102" t="s">
        <v>1178</v>
      </c>
    </row>
    <row r="3606" spans="1:3" ht="15">
      <c r="A3606" s="90" t="s">
        <v>349</v>
      </c>
      <c r="B3606" s="89" t="s">
        <v>2689</v>
      </c>
      <c r="C3606" s="102" t="s">
        <v>1178</v>
      </c>
    </row>
    <row r="3607" spans="1:3" ht="15">
      <c r="A3607" s="90" t="s">
        <v>349</v>
      </c>
      <c r="B3607" s="89" t="s">
        <v>2690</v>
      </c>
      <c r="C3607" s="102" t="s">
        <v>1178</v>
      </c>
    </row>
    <row r="3608" spans="1:3" ht="15">
      <c r="A3608" s="90" t="s">
        <v>349</v>
      </c>
      <c r="B3608" s="89" t="s">
        <v>2691</v>
      </c>
      <c r="C3608" s="102" t="s">
        <v>1178</v>
      </c>
    </row>
    <row r="3609" spans="1:3" ht="15">
      <c r="A3609" s="90" t="s">
        <v>349</v>
      </c>
      <c r="B3609" s="89" t="s">
        <v>2692</v>
      </c>
      <c r="C3609" s="102" t="s">
        <v>1178</v>
      </c>
    </row>
    <row r="3610" spans="1:3" ht="15">
      <c r="A3610" s="90" t="s">
        <v>349</v>
      </c>
      <c r="B3610" s="89" t="s">
        <v>2693</v>
      </c>
      <c r="C3610" s="102" t="s">
        <v>1178</v>
      </c>
    </row>
    <row r="3611" spans="1:3" ht="15">
      <c r="A3611" s="90" t="s">
        <v>349</v>
      </c>
      <c r="B3611" s="89" t="s">
        <v>3313</v>
      </c>
      <c r="C3611" s="102" t="s">
        <v>1178</v>
      </c>
    </row>
    <row r="3612" spans="1:3" ht="15">
      <c r="A3612" s="90" t="s">
        <v>349</v>
      </c>
      <c r="B3612" s="89" t="s">
        <v>2694</v>
      </c>
      <c r="C3612" s="102" t="s">
        <v>1178</v>
      </c>
    </row>
    <row r="3613" spans="1:3" ht="15">
      <c r="A3613" s="90" t="s">
        <v>349</v>
      </c>
      <c r="B3613" s="89" t="s">
        <v>3137</v>
      </c>
      <c r="C3613" s="102" t="s">
        <v>1178</v>
      </c>
    </row>
    <row r="3614" spans="1:3" ht="15">
      <c r="A3614" s="90" t="s">
        <v>349</v>
      </c>
      <c r="B3614" s="89" t="s">
        <v>2695</v>
      </c>
      <c r="C3614" s="102" t="s">
        <v>1178</v>
      </c>
    </row>
    <row r="3615" spans="1:3" ht="15">
      <c r="A3615" s="90" t="s">
        <v>349</v>
      </c>
      <c r="B3615" s="89" t="s">
        <v>2696</v>
      </c>
      <c r="C3615" s="102" t="s">
        <v>1178</v>
      </c>
    </row>
    <row r="3616" spans="1:3" ht="15">
      <c r="A3616" s="90" t="s">
        <v>349</v>
      </c>
      <c r="B3616" s="89" t="s">
        <v>3314</v>
      </c>
      <c r="C3616" s="102" t="s">
        <v>1178</v>
      </c>
    </row>
    <row r="3617" spans="1:3" ht="15">
      <c r="A3617" s="90" t="s">
        <v>349</v>
      </c>
      <c r="B3617" s="89" t="s">
        <v>712</v>
      </c>
      <c r="C3617" s="102" t="s">
        <v>1178</v>
      </c>
    </row>
    <row r="3618" spans="1:3" ht="15">
      <c r="A3618" s="90" t="s">
        <v>349</v>
      </c>
      <c r="B3618" s="89" t="s">
        <v>3315</v>
      </c>
      <c r="C3618" s="102" t="s">
        <v>1178</v>
      </c>
    </row>
    <row r="3619" spans="1:3" ht="15">
      <c r="A3619" s="90" t="s">
        <v>349</v>
      </c>
      <c r="B3619" s="89" t="s">
        <v>2699</v>
      </c>
      <c r="C3619" s="102" t="s">
        <v>1178</v>
      </c>
    </row>
    <row r="3620" spans="1:3" ht="15">
      <c r="A3620" s="90" t="s">
        <v>349</v>
      </c>
      <c r="B3620" s="89" t="s">
        <v>2700</v>
      </c>
      <c r="C3620" s="102" t="s">
        <v>1178</v>
      </c>
    </row>
    <row r="3621" spans="1:3" ht="15">
      <c r="A3621" s="90" t="s">
        <v>349</v>
      </c>
      <c r="B3621" s="89" t="s">
        <v>2701</v>
      </c>
      <c r="C3621" s="102" t="s">
        <v>1178</v>
      </c>
    </row>
    <row r="3622" spans="1:3" ht="15">
      <c r="A3622" s="90" t="s">
        <v>349</v>
      </c>
      <c r="B3622" s="89" t="s">
        <v>3316</v>
      </c>
      <c r="C3622" s="102" t="s">
        <v>1178</v>
      </c>
    </row>
    <row r="3623" spans="1:3" ht="15">
      <c r="A3623" s="90" t="s">
        <v>349</v>
      </c>
      <c r="B3623" s="89" t="s">
        <v>2680</v>
      </c>
      <c r="C3623" s="102" t="s">
        <v>1178</v>
      </c>
    </row>
    <row r="3624" spans="1:3" ht="15">
      <c r="A3624" s="90" t="s">
        <v>349</v>
      </c>
      <c r="B3624" s="89" t="s">
        <v>2702</v>
      </c>
      <c r="C3624" s="102" t="s">
        <v>1178</v>
      </c>
    </row>
    <row r="3625" spans="1:3" ht="15">
      <c r="A3625" s="90" t="s">
        <v>349</v>
      </c>
      <c r="B3625" s="89" t="s">
        <v>2703</v>
      </c>
      <c r="C3625" s="102" t="s">
        <v>1178</v>
      </c>
    </row>
    <row r="3626" spans="1:3" ht="15">
      <c r="A3626" s="90" t="s">
        <v>349</v>
      </c>
      <c r="B3626" s="89" t="s">
        <v>3317</v>
      </c>
      <c r="C3626" s="102" t="s">
        <v>1178</v>
      </c>
    </row>
    <row r="3627" spans="1:3" ht="15">
      <c r="A3627" s="90" t="s">
        <v>349</v>
      </c>
      <c r="B3627" s="89" t="s">
        <v>3318</v>
      </c>
      <c r="C3627" s="102" t="s">
        <v>1178</v>
      </c>
    </row>
    <row r="3628" spans="1:3" ht="15">
      <c r="A3628" s="90" t="s">
        <v>349</v>
      </c>
      <c r="B3628" s="89" t="s">
        <v>226</v>
      </c>
      <c r="C3628" s="102" t="s">
        <v>1178</v>
      </c>
    </row>
    <row r="3629" spans="1:3" ht="15">
      <c r="A3629" s="90" t="s">
        <v>273</v>
      </c>
      <c r="B3629" s="89" t="s">
        <v>3311</v>
      </c>
      <c r="C3629" s="102" t="s">
        <v>1031</v>
      </c>
    </row>
    <row r="3630" spans="1:3" ht="15">
      <c r="A3630" s="90" t="s">
        <v>273</v>
      </c>
      <c r="B3630" s="89" t="s">
        <v>3312</v>
      </c>
      <c r="C3630" s="102" t="s">
        <v>1031</v>
      </c>
    </row>
    <row r="3631" spans="1:3" ht="15">
      <c r="A3631" s="90" t="s">
        <v>273</v>
      </c>
      <c r="B3631" s="89" t="s">
        <v>2687</v>
      </c>
      <c r="C3631" s="102" t="s">
        <v>1031</v>
      </c>
    </row>
    <row r="3632" spans="1:3" ht="15">
      <c r="A3632" s="90" t="s">
        <v>273</v>
      </c>
      <c r="B3632" s="89" t="s">
        <v>2688</v>
      </c>
      <c r="C3632" s="102" t="s">
        <v>1031</v>
      </c>
    </row>
    <row r="3633" spans="1:3" ht="15">
      <c r="A3633" s="90" t="s">
        <v>273</v>
      </c>
      <c r="B3633" s="89" t="s">
        <v>2689</v>
      </c>
      <c r="C3633" s="102" t="s">
        <v>1031</v>
      </c>
    </row>
    <row r="3634" spans="1:3" ht="15">
      <c r="A3634" s="90" t="s">
        <v>273</v>
      </c>
      <c r="B3634" s="89" t="s">
        <v>2690</v>
      </c>
      <c r="C3634" s="102" t="s">
        <v>1031</v>
      </c>
    </row>
    <row r="3635" spans="1:3" ht="15">
      <c r="A3635" s="90" t="s">
        <v>273</v>
      </c>
      <c r="B3635" s="89" t="s">
        <v>2691</v>
      </c>
      <c r="C3635" s="102" t="s">
        <v>1031</v>
      </c>
    </row>
    <row r="3636" spans="1:3" ht="15">
      <c r="A3636" s="90" t="s">
        <v>273</v>
      </c>
      <c r="B3636" s="89" t="s">
        <v>2692</v>
      </c>
      <c r="C3636" s="102" t="s">
        <v>1031</v>
      </c>
    </row>
    <row r="3637" spans="1:3" ht="15">
      <c r="A3637" s="90" t="s">
        <v>273</v>
      </c>
      <c r="B3637" s="89" t="s">
        <v>2693</v>
      </c>
      <c r="C3637" s="102" t="s">
        <v>1031</v>
      </c>
    </row>
    <row r="3638" spans="1:3" ht="15">
      <c r="A3638" s="90" t="s">
        <v>273</v>
      </c>
      <c r="B3638" s="89" t="s">
        <v>3313</v>
      </c>
      <c r="C3638" s="102" t="s">
        <v>1031</v>
      </c>
    </row>
    <row r="3639" spans="1:3" ht="15">
      <c r="A3639" s="90" t="s">
        <v>273</v>
      </c>
      <c r="B3639" s="89" t="s">
        <v>2694</v>
      </c>
      <c r="C3639" s="102" t="s">
        <v>1031</v>
      </c>
    </row>
    <row r="3640" spans="1:3" ht="15">
      <c r="A3640" s="90" t="s">
        <v>273</v>
      </c>
      <c r="B3640" s="89" t="s">
        <v>3137</v>
      </c>
      <c r="C3640" s="102" t="s">
        <v>1031</v>
      </c>
    </row>
    <row r="3641" spans="1:3" ht="15">
      <c r="A3641" s="90" t="s">
        <v>273</v>
      </c>
      <c r="B3641" s="89" t="s">
        <v>2695</v>
      </c>
      <c r="C3641" s="102" t="s">
        <v>1031</v>
      </c>
    </row>
    <row r="3642" spans="1:3" ht="15">
      <c r="A3642" s="90" t="s">
        <v>273</v>
      </c>
      <c r="B3642" s="89" t="s">
        <v>2696</v>
      </c>
      <c r="C3642" s="102" t="s">
        <v>1031</v>
      </c>
    </row>
    <row r="3643" spans="1:3" ht="15">
      <c r="A3643" s="90" t="s">
        <v>273</v>
      </c>
      <c r="B3643" s="89" t="s">
        <v>3314</v>
      </c>
      <c r="C3643" s="102" t="s">
        <v>1031</v>
      </c>
    </row>
    <row r="3644" spans="1:3" ht="15">
      <c r="A3644" s="90" t="s">
        <v>273</v>
      </c>
      <c r="B3644" s="89" t="s">
        <v>712</v>
      </c>
      <c r="C3644" s="102" t="s">
        <v>1031</v>
      </c>
    </row>
    <row r="3645" spans="1:3" ht="15">
      <c r="A3645" s="90" t="s">
        <v>273</v>
      </c>
      <c r="B3645" s="89" t="s">
        <v>3315</v>
      </c>
      <c r="C3645" s="102" t="s">
        <v>1031</v>
      </c>
    </row>
    <row r="3646" spans="1:3" ht="15">
      <c r="A3646" s="90" t="s">
        <v>273</v>
      </c>
      <c r="B3646" s="89" t="s">
        <v>2699</v>
      </c>
      <c r="C3646" s="102" t="s">
        <v>1031</v>
      </c>
    </row>
    <row r="3647" spans="1:3" ht="15">
      <c r="A3647" s="90" t="s">
        <v>273</v>
      </c>
      <c r="B3647" s="89" t="s">
        <v>2700</v>
      </c>
      <c r="C3647" s="102" t="s">
        <v>1031</v>
      </c>
    </row>
    <row r="3648" spans="1:3" ht="15">
      <c r="A3648" s="90" t="s">
        <v>273</v>
      </c>
      <c r="B3648" s="89" t="s">
        <v>2701</v>
      </c>
      <c r="C3648" s="102" t="s">
        <v>1031</v>
      </c>
    </row>
    <row r="3649" spans="1:3" ht="15">
      <c r="A3649" s="90" t="s">
        <v>273</v>
      </c>
      <c r="B3649" s="89" t="s">
        <v>3316</v>
      </c>
      <c r="C3649" s="102" t="s">
        <v>1031</v>
      </c>
    </row>
    <row r="3650" spans="1:3" ht="15">
      <c r="A3650" s="90" t="s">
        <v>273</v>
      </c>
      <c r="B3650" s="89" t="s">
        <v>2680</v>
      </c>
      <c r="C3650" s="102" t="s">
        <v>1031</v>
      </c>
    </row>
    <row r="3651" spans="1:3" ht="15">
      <c r="A3651" s="90" t="s">
        <v>273</v>
      </c>
      <c r="B3651" s="89" t="s">
        <v>2702</v>
      </c>
      <c r="C3651" s="102" t="s">
        <v>1031</v>
      </c>
    </row>
    <row r="3652" spans="1:3" ht="15">
      <c r="A3652" s="90" t="s">
        <v>273</v>
      </c>
      <c r="B3652" s="89" t="s">
        <v>2703</v>
      </c>
      <c r="C3652" s="102" t="s">
        <v>1031</v>
      </c>
    </row>
    <row r="3653" spans="1:3" ht="15">
      <c r="A3653" s="90" t="s">
        <v>273</v>
      </c>
      <c r="B3653" s="89" t="s">
        <v>3317</v>
      </c>
      <c r="C3653" s="102" t="s">
        <v>1031</v>
      </c>
    </row>
    <row r="3654" spans="1:3" ht="15">
      <c r="A3654" s="90" t="s">
        <v>273</v>
      </c>
      <c r="B3654" s="89" t="s">
        <v>3318</v>
      </c>
      <c r="C3654" s="102" t="s">
        <v>1031</v>
      </c>
    </row>
    <row r="3655" spans="1:3" ht="15">
      <c r="A3655" s="90" t="s">
        <v>273</v>
      </c>
      <c r="B3655" s="89" t="s">
        <v>226</v>
      </c>
      <c r="C3655" s="102" t="s">
        <v>1031</v>
      </c>
    </row>
    <row r="3656" spans="1:3" ht="15">
      <c r="A3656" s="90" t="s">
        <v>272</v>
      </c>
      <c r="B3656" s="89" t="s">
        <v>3307</v>
      </c>
      <c r="C3656" s="102" t="s">
        <v>1030</v>
      </c>
    </row>
    <row r="3657" spans="1:3" ht="15">
      <c r="A3657" s="90" t="s">
        <v>272</v>
      </c>
      <c r="B3657" s="89" t="s">
        <v>3152</v>
      </c>
      <c r="C3657" s="102" t="s">
        <v>1030</v>
      </c>
    </row>
    <row r="3658" spans="1:3" ht="15">
      <c r="A3658" s="90" t="s">
        <v>272</v>
      </c>
      <c r="B3658" s="89" t="s">
        <v>3141</v>
      </c>
      <c r="C3658" s="102" t="s">
        <v>1030</v>
      </c>
    </row>
    <row r="3659" spans="1:3" ht="15">
      <c r="A3659" s="90" t="s">
        <v>272</v>
      </c>
      <c r="B3659" s="89" t="s">
        <v>2678</v>
      </c>
      <c r="C3659" s="102" t="s">
        <v>1030</v>
      </c>
    </row>
    <row r="3660" spans="1:3" ht="15">
      <c r="A3660" s="90" t="s">
        <v>272</v>
      </c>
      <c r="B3660" s="89" t="s">
        <v>2676</v>
      </c>
      <c r="C3660" s="102" t="s">
        <v>1030</v>
      </c>
    </row>
    <row r="3661" spans="1:3" ht="15">
      <c r="A3661" s="90" t="s">
        <v>272</v>
      </c>
      <c r="B3661" s="89" t="s">
        <v>3308</v>
      </c>
      <c r="C3661" s="102" t="s">
        <v>1030</v>
      </c>
    </row>
    <row r="3662" spans="1:3" ht="15">
      <c r="A3662" s="90" t="s">
        <v>272</v>
      </c>
      <c r="B3662" s="89" t="s">
        <v>3205</v>
      </c>
      <c r="C3662" s="102" t="s">
        <v>1030</v>
      </c>
    </row>
    <row r="3663" spans="1:3" ht="15">
      <c r="A3663" s="90" t="s">
        <v>272</v>
      </c>
      <c r="B3663" s="89" t="s">
        <v>3155</v>
      </c>
      <c r="C3663" s="102" t="s">
        <v>1030</v>
      </c>
    </row>
    <row r="3664" spans="1:3" ht="15">
      <c r="A3664" s="90" t="s">
        <v>272</v>
      </c>
      <c r="B3664" s="89" t="s">
        <v>3309</v>
      </c>
      <c r="C3664" s="102" t="s">
        <v>1030</v>
      </c>
    </row>
    <row r="3665" spans="1:3" ht="15">
      <c r="A3665" s="90" t="s">
        <v>272</v>
      </c>
      <c r="B3665" s="89" t="s">
        <v>2679</v>
      </c>
      <c r="C3665" s="102" t="s">
        <v>1030</v>
      </c>
    </row>
    <row r="3666" spans="1:3" ht="15">
      <c r="A3666" s="90" t="s">
        <v>272</v>
      </c>
      <c r="B3666" s="89" t="s">
        <v>712</v>
      </c>
      <c r="C3666" s="102" t="s">
        <v>1030</v>
      </c>
    </row>
    <row r="3667" spans="1:3" ht="15">
      <c r="A3667" s="90" t="s">
        <v>272</v>
      </c>
      <c r="B3667" s="89" t="s">
        <v>431</v>
      </c>
      <c r="C3667" s="102" t="s">
        <v>1030</v>
      </c>
    </row>
    <row r="3668" spans="1:3" ht="15">
      <c r="A3668" s="90" t="s">
        <v>272</v>
      </c>
      <c r="B3668" s="89" t="s">
        <v>3310</v>
      </c>
      <c r="C3668" s="102" t="s">
        <v>1030</v>
      </c>
    </row>
    <row r="3669" spans="1:3" ht="15">
      <c r="A3669" s="90" t="s">
        <v>368</v>
      </c>
      <c r="B3669" s="89" t="s">
        <v>3307</v>
      </c>
      <c r="C3669" s="102" t="s">
        <v>1196</v>
      </c>
    </row>
    <row r="3670" spans="1:3" ht="15">
      <c r="A3670" s="90" t="s">
        <v>368</v>
      </c>
      <c r="B3670" s="89" t="s">
        <v>3152</v>
      </c>
      <c r="C3670" s="102" t="s">
        <v>1196</v>
      </c>
    </row>
    <row r="3671" spans="1:3" ht="15">
      <c r="A3671" s="90" t="s">
        <v>368</v>
      </c>
      <c r="B3671" s="89" t="s">
        <v>3141</v>
      </c>
      <c r="C3671" s="102" t="s">
        <v>1196</v>
      </c>
    </row>
    <row r="3672" spans="1:3" ht="15">
      <c r="A3672" s="90" t="s">
        <v>368</v>
      </c>
      <c r="B3672" s="89" t="s">
        <v>2678</v>
      </c>
      <c r="C3672" s="102" t="s">
        <v>1196</v>
      </c>
    </row>
    <row r="3673" spans="1:3" ht="15">
      <c r="A3673" s="90" t="s">
        <v>368</v>
      </c>
      <c r="B3673" s="89" t="s">
        <v>2676</v>
      </c>
      <c r="C3673" s="102" t="s">
        <v>1196</v>
      </c>
    </row>
    <row r="3674" spans="1:3" ht="15">
      <c r="A3674" s="90" t="s">
        <v>368</v>
      </c>
      <c r="B3674" s="89" t="s">
        <v>3308</v>
      </c>
      <c r="C3674" s="102" t="s">
        <v>1196</v>
      </c>
    </row>
    <row r="3675" spans="1:3" ht="15">
      <c r="A3675" s="90" t="s">
        <v>368</v>
      </c>
      <c r="B3675" s="89" t="s">
        <v>3205</v>
      </c>
      <c r="C3675" s="102" t="s">
        <v>1196</v>
      </c>
    </row>
    <row r="3676" spans="1:3" ht="15">
      <c r="A3676" s="90" t="s">
        <v>368</v>
      </c>
      <c r="B3676" s="89" t="s">
        <v>3155</v>
      </c>
      <c r="C3676" s="102" t="s">
        <v>1196</v>
      </c>
    </row>
    <row r="3677" spans="1:3" ht="15">
      <c r="A3677" s="90" t="s">
        <v>368</v>
      </c>
      <c r="B3677" s="89" t="s">
        <v>3309</v>
      </c>
      <c r="C3677" s="102" t="s">
        <v>1196</v>
      </c>
    </row>
    <row r="3678" spans="1:3" ht="15">
      <c r="A3678" s="90" t="s">
        <v>368</v>
      </c>
      <c r="B3678" s="89" t="s">
        <v>2679</v>
      </c>
      <c r="C3678" s="102" t="s">
        <v>1196</v>
      </c>
    </row>
    <row r="3679" spans="1:3" ht="15">
      <c r="A3679" s="90" t="s">
        <v>368</v>
      </c>
      <c r="B3679" s="89" t="s">
        <v>712</v>
      </c>
      <c r="C3679" s="102" t="s">
        <v>1196</v>
      </c>
    </row>
    <row r="3680" spans="1:3" ht="15">
      <c r="A3680" s="90" t="s">
        <v>368</v>
      </c>
      <c r="B3680" s="89" t="s">
        <v>431</v>
      </c>
      <c r="C3680" s="102" t="s">
        <v>1196</v>
      </c>
    </row>
    <row r="3681" spans="1:3" ht="15">
      <c r="A3681" s="90" t="s">
        <v>368</v>
      </c>
      <c r="B3681" s="89" t="s">
        <v>3310</v>
      </c>
      <c r="C3681" s="102" t="s">
        <v>1196</v>
      </c>
    </row>
    <row r="3682" spans="1:3" ht="15">
      <c r="A3682" s="90" t="s">
        <v>271</v>
      </c>
      <c r="B3682" s="89" t="s">
        <v>3307</v>
      </c>
      <c r="C3682" s="102" t="s">
        <v>1029</v>
      </c>
    </row>
    <row r="3683" spans="1:3" ht="15">
      <c r="A3683" s="90" t="s">
        <v>271</v>
      </c>
      <c r="B3683" s="89" t="s">
        <v>3152</v>
      </c>
      <c r="C3683" s="102" t="s">
        <v>1029</v>
      </c>
    </row>
    <row r="3684" spans="1:3" ht="15">
      <c r="A3684" s="90" t="s">
        <v>271</v>
      </c>
      <c r="B3684" s="89" t="s">
        <v>3141</v>
      </c>
      <c r="C3684" s="102" t="s">
        <v>1029</v>
      </c>
    </row>
    <row r="3685" spans="1:3" ht="15">
      <c r="A3685" s="90" t="s">
        <v>271</v>
      </c>
      <c r="B3685" s="89" t="s">
        <v>2678</v>
      </c>
      <c r="C3685" s="102" t="s">
        <v>1029</v>
      </c>
    </row>
    <row r="3686" spans="1:3" ht="15">
      <c r="A3686" s="90" t="s">
        <v>271</v>
      </c>
      <c r="B3686" s="89" t="s">
        <v>2676</v>
      </c>
      <c r="C3686" s="102" t="s">
        <v>1029</v>
      </c>
    </row>
    <row r="3687" spans="1:3" ht="15">
      <c r="A3687" s="90" t="s">
        <v>271</v>
      </c>
      <c r="B3687" s="89" t="s">
        <v>3308</v>
      </c>
      <c r="C3687" s="102" t="s">
        <v>1029</v>
      </c>
    </row>
    <row r="3688" spans="1:3" ht="15">
      <c r="A3688" s="90" t="s">
        <v>271</v>
      </c>
      <c r="B3688" s="89" t="s">
        <v>3205</v>
      </c>
      <c r="C3688" s="102" t="s">
        <v>1029</v>
      </c>
    </row>
    <row r="3689" spans="1:3" ht="15">
      <c r="A3689" s="90" t="s">
        <v>271</v>
      </c>
      <c r="B3689" s="89" t="s">
        <v>3155</v>
      </c>
      <c r="C3689" s="102" t="s">
        <v>1029</v>
      </c>
    </row>
    <row r="3690" spans="1:3" ht="15">
      <c r="A3690" s="90" t="s">
        <v>271</v>
      </c>
      <c r="B3690" s="89" t="s">
        <v>3309</v>
      </c>
      <c r="C3690" s="102" t="s">
        <v>1029</v>
      </c>
    </row>
    <row r="3691" spans="1:3" ht="15">
      <c r="A3691" s="90" t="s">
        <v>271</v>
      </c>
      <c r="B3691" s="89" t="s">
        <v>2679</v>
      </c>
      <c r="C3691" s="102" t="s">
        <v>1029</v>
      </c>
    </row>
    <row r="3692" spans="1:3" ht="15">
      <c r="A3692" s="90" t="s">
        <v>271</v>
      </c>
      <c r="B3692" s="89" t="s">
        <v>712</v>
      </c>
      <c r="C3692" s="102" t="s">
        <v>1029</v>
      </c>
    </row>
    <row r="3693" spans="1:3" ht="15">
      <c r="A3693" s="90" t="s">
        <v>271</v>
      </c>
      <c r="B3693" s="89" t="s">
        <v>431</v>
      </c>
      <c r="C3693" s="102" t="s">
        <v>1029</v>
      </c>
    </row>
    <row r="3694" spans="1:3" ht="15">
      <c r="A3694" s="90" t="s">
        <v>271</v>
      </c>
      <c r="B3694" s="89" t="s">
        <v>3310</v>
      </c>
      <c r="C3694" s="102" t="s">
        <v>1029</v>
      </c>
    </row>
    <row r="3695" spans="1:3" ht="15">
      <c r="A3695" s="90" t="s">
        <v>270</v>
      </c>
      <c r="B3695" s="89" t="s">
        <v>3282</v>
      </c>
      <c r="C3695" s="102" t="s">
        <v>1028</v>
      </c>
    </row>
    <row r="3696" spans="1:3" ht="15">
      <c r="A3696" s="90" t="s">
        <v>270</v>
      </c>
      <c r="B3696" s="89" t="s">
        <v>3325</v>
      </c>
      <c r="C3696" s="102" t="s">
        <v>1028</v>
      </c>
    </row>
    <row r="3697" spans="1:3" ht="15">
      <c r="A3697" s="90" t="s">
        <v>270</v>
      </c>
      <c r="B3697" s="89" t="s">
        <v>3309</v>
      </c>
      <c r="C3697" s="102" t="s">
        <v>1028</v>
      </c>
    </row>
    <row r="3698" spans="1:3" ht="15">
      <c r="A3698" s="90" t="s">
        <v>270</v>
      </c>
      <c r="B3698" s="89" t="s">
        <v>2665</v>
      </c>
      <c r="C3698" s="102" t="s">
        <v>1028</v>
      </c>
    </row>
    <row r="3699" spans="1:3" ht="15">
      <c r="A3699" s="90" t="s">
        <v>270</v>
      </c>
      <c r="B3699" s="89" t="s">
        <v>4138</v>
      </c>
      <c r="C3699" s="102" t="s">
        <v>1028</v>
      </c>
    </row>
    <row r="3700" spans="1:3" ht="15">
      <c r="A3700" s="90" t="s">
        <v>270</v>
      </c>
      <c r="B3700" s="89" t="s">
        <v>3141</v>
      </c>
      <c r="C3700" s="102" t="s">
        <v>1028</v>
      </c>
    </row>
    <row r="3701" spans="1:3" ht="15">
      <c r="A3701" s="90" t="s">
        <v>270</v>
      </c>
      <c r="B3701" s="89" t="s">
        <v>3165</v>
      </c>
      <c r="C3701" s="102" t="s">
        <v>1028</v>
      </c>
    </row>
    <row r="3702" spans="1:3" ht="15">
      <c r="A3702" s="90" t="s">
        <v>270</v>
      </c>
      <c r="B3702" s="89" t="s">
        <v>3179</v>
      </c>
      <c r="C3702" s="102" t="s">
        <v>1028</v>
      </c>
    </row>
    <row r="3703" spans="1:3" ht="15">
      <c r="A3703" s="90" t="s">
        <v>270</v>
      </c>
      <c r="B3703" s="89" t="s">
        <v>3169</v>
      </c>
      <c r="C3703" s="102" t="s">
        <v>1028</v>
      </c>
    </row>
    <row r="3704" spans="1:3" ht="15">
      <c r="A3704" s="90" t="s">
        <v>270</v>
      </c>
      <c r="B3704" s="89" t="s">
        <v>3357</v>
      </c>
      <c r="C3704" s="102" t="s">
        <v>1028</v>
      </c>
    </row>
    <row r="3705" spans="1:3" ht="15">
      <c r="A3705" s="90" t="s">
        <v>270</v>
      </c>
      <c r="B3705" s="89" t="s">
        <v>4139</v>
      </c>
      <c r="C3705" s="102" t="s">
        <v>1028</v>
      </c>
    </row>
    <row r="3706" spans="1:3" ht="15">
      <c r="A3706" s="90" t="s">
        <v>270</v>
      </c>
      <c r="B3706" s="89" t="s">
        <v>3239</v>
      </c>
      <c r="C3706" s="102" t="s">
        <v>1028</v>
      </c>
    </row>
    <row r="3707" spans="1:3" ht="15">
      <c r="A3707" s="90" t="s">
        <v>270</v>
      </c>
      <c r="B3707" s="89" t="s">
        <v>3045</v>
      </c>
      <c r="C3707" s="102" t="s">
        <v>1028</v>
      </c>
    </row>
    <row r="3708" spans="1:3" ht="15">
      <c r="A3708" s="90" t="s">
        <v>270</v>
      </c>
      <c r="B3708" s="89" t="s">
        <v>3689</v>
      </c>
      <c r="C3708" s="102" t="s">
        <v>1028</v>
      </c>
    </row>
    <row r="3709" spans="1:3" ht="15">
      <c r="A3709" s="90" t="s">
        <v>270</v>
      </c>
      <c r="B3709" s="89" t="s">
        <v>3174</v>
      </c>
      <c r="C3709" s="102" t="s">
        <v>1028</v>
      </c>
    </row>
    <row r="3710" spans="1:3" ht="15">
      <c r="A3710" s="90" t="s">
        <v>270</v>
      </c>
      <c r="B3710" s="89" t="s">
        <v>3765</v>
      </c>
      <c r="C3710" s="102" t="s">
        <v>1028</v>
      </c>
    </row>
    <row r="3711" spans="1:3" ht="15">
      <c r="A3711" s="90" t="s">
        <v>270</v>
      </c>
      <c r="B3711" s="89" t="s">
        <v>4140</v>
      </c>
      <c r="C3711" s="102" t="s">
        <v>1028</v>
      </c>
    </row>
    <row r="3712" spans="1:3" ht="15">
      <c r="A3712" s="90" t="s">
        <v>270</v>
      </c>
      <c r="B3712" s="89" t="s">
        <v>3356</v>
      </c>
      <c r="C3712" s="102" t="s">
        <v>1028</v>
      </c>
    </row>
    <row r="3713" spans="1:3" ht="15">
      <c r="A3713" s="90" t="s">
        <v>270</v>
      </c>
      <c r="B3713" s="89" t="s">
        <v>3618</v>
      </c>
      <c r="C3713" s="102" t="s">
        <v>1028</v>
      </c>
    </row>
    <row r="3714" spans="1:3" ht="15">
      <c r="A3714" s="90" t="s">
        <v>270</v>
      </c>
      <c r="B3714" s="89" t="s">
        <v>2902</v>
      </c>
      <c r="C3714" s="102" t="s">
        <v>1028</v>
      </c>
    </row>
    <row r="3715" spans="1:3" ht="15">
      <c r="A3715" s="90" t="s">
        <v>270</v>
      </c>
      <c r="B3715" s="89" t="s">
        <v>3137</v>
      </c>
      <c r="C3715" s="102" t="s">
        <v>1028</v>
      </c>
    </row>
    <row r="3716" spans="1:3" ht="15">
      <c r="A3716" s="90" t="s">
        <v>270</v>
      </c>
      <c r="B3716" s="89" t="s">
        <v>712</v>
      </c>
      <c r="C3716" s="102" t="s">
        <v>1028</v>
      </c>
    </row>
    <row r="3717" spans="1:3" ht="15">
      <c r="A3717" s="90" t="s">
        <v>270</v>
      </c>
      <c r="B3717" s="89" t="s">
        <v>4141</v>
      </c>
      <c r="C3717" s="102" t="s">
        <v>1028</v>
      </c>
    </row>
    <row r="3718" spans="1:3" ht="15">
      <c r="A3718" s="90" t="s">
        <v>270</v>
      </c>
      <c r="B3718" s="89" t="s">
        <v>3656</v>
      </c>
      <c r="C3718" s="102" t="s">
        <v>1028</v>
      </c>
    </row>
    <row r="3719" spans="1:3" ht="15">
      <c r="A3719" s="90" t="s">
        <v>270</v>
      </c>
      <c r="B3719" s="89" t="s">
        <v>4142</v>
      </c>
      <c r="C3719" s="102" t="s">
        <v>1028</v>
      </c>
    </row>
    <row r="3720" spans="1:3" ht="15">
      <c r="A3720" s="90" t="s">
        <v>270</v>
      </c>
      <c r="B3720" s="89" t="s">
        <v>4143</v>
      </c>
      <c r="C3720" s="102" t="s">
        <v>1028</v>
      </c>
    </row>
    <row r="3721" spans="1:3" ht="15">
      <c r="A3721" s="90" t="s">
        <v>270</v>
      </c>
      <c r="B3721" s="89" t="s">
        <v>4144</v>
      </c>
      <c r="C3721" s="102" t="s">
        <v>1028</v>
      </c>
    </row>
    <row r="3722" spans="1:3" ht="15">
      <c r="A3722" s="90" t="s">
        <v>270</v>
      </c>
      <c r="B3722" s="89" t="s">
        <v>2709</v>
      </c>
      <c r="C3722" s="102" t="s">
        <v>1028</v>
      </c>
    </row>
    <row r="3723" spans="1:3" ht="15">
      <c r="A3723" s="90" t="s">
        <v>270</v>
      </c>
      <c r="B3723" s="89" t="s">
        <v>4109</v>
      </c>
      <c r="C3723" s="102" t="s">
        <v>1028</v>
      </c>
    </row>
    <row r="3724" spans="1:3" ht="15">
      <c r="A3724" s="90" t="s">
        <v>270</v>
      </c>
      <c r="B3724" s="89" t="s">
        <v>4145</v>
      </c>
      <c r="C3724" s="102" t="s">
        <v>1028</v>
      </c>
    </row>
    <row r="3725" spans="1:3" ht="15">
      <c r="A3725" s="90" t="s">
        <v>270</v>
      </c>
      <c r="B3725" s="89" t="s">
        <v>428</v>
      </c>
      <c r="C3725" s="102" t="s">
        <v>1027</v>
      </c>
    </row>
    <row r="3726" spans="1:3" ht="15">
      <c r="A3726" s="90" t="s">
        <v>270</v>
      </c>
      <c r="B3726" s="89" t="s">
        <v>427</v>
      </c>
      <c r="C3726" s="102" t="s">
        <v>1027</v>
      </c>
    </row>
    <row r="3727" spans="1:3" ht="15">
      <c r="A3727" s="90" t="s">
        <v>270</v>
      </c>
      <c r="B3727" s="89" t="s">
        <v>4146</v>
      </c>
      <c r="C3727" s="102" t="s">
        <v>1027</v>
      </c>
    </row>
    <row r="3728" spans="1:3" ht="15">
      <c r="A3728" s="90" t="s">
        <v>270</v>
      </c>
      <c r="B3728" s="89" t="s">
        <v>4147</v>
      </c>
      <c r="C3728" s="102" t="s">
        <v>1027</v>
      </c>
    </row>
    <row r="3729" spans="1:3" ht="15">
      <c r="A3729" s="90" t="s">
        <v>270</v>
      </c>
      <c r="B3729" s="89" t="s">
        <v>4148</v>
      </c>
      <c r="C3729" s="102" t="s">
        <v>1027</v>
      </c>
    </row>
    <row r="3730" spans="1:3" ht="15">
      <c r="A3730" s="90" t="s">
        <v>270</v>
      </c>
      <c r="B3730" s="89" t="s">
        <v>3045</v>
      </c>
      <c r="C3730" s="102" t="s">
        <v>1027</v>
      </c>
    </row>
    <row r="3731" spans="1:3" ht="15">
      <c r="A3731" s="90" t="s">
        <v>270</v>
      </c>
      <c r="B3731" s="89" t="s">
        <v>4149</v>
      </c>
      <c r="C3731" s="102" t="s">
        <v>1027</v>
      </c>
    </row>
    <row r="3732" spans="1:3" ht="15">
      <c r="A3732" s="90" t="s">
        <v>270</v>
      </c>
      <c r="B3732" s="89" t="s">
        <v>3179</v>
      </c>
      <c r="C3732" s="102" t="s">
        <v>1027</v>
      </c>
    </row>
    <row r="3733" spans="1:3" ht="15">
      <c r="A3733" s="90" t="s">
        <v>270</v>
      </c>
      <c r="B3733" s="89" t="s">
        <v>3719</v>
      </c>
      <c r="C3733" s="102" t="s">
        <v>1027</v>
      </c>
    </row>
    <row r="3734" spans="1:3" ht="15">
      <c r="A3734" s="90" t="s">
        <v>270</v>
      </c>
      <c r="B3734" s="89" t="s">
        <v>2783</v>
      </c>
      <c r="C3734" s="102" t="s">
        <v>1027</v>
      </c>
    </row>
    <row r="3735" spans="1:3" ht="15">
      <c r="A3735" s="90" t="s">
        <v>270</v>
      </c>
      <c r="B3735" s="89" t="s">
        <v>2705</v>
      </c>
      <c r="C3735" s="102" t="s">
        <v>1027</v>
      </c>
    </row>
    <row r="3736" spans="1:3" ht="15">
      <c r="A3736" s="90" t="s">
        <v>270</v>
      </c>
      <c r="B3736" s="89" t="s">
        <v>712</v>
      </c>
      <c r="C3736" s="102" t="s">
        <v>1027</v>
      </c>
    </row>
    <row r="3737" spans="1:3" ht="15">
      <c r="A3737" s="90" t="s">
        <v>270</v>
      </c>
      <c r="B3737" s="89" t="s">
        <v>3137</v>
      </c>
      <c r="C3737" s="102" t="s">
        <v>1027</v>
      </c>
    </row>
    <row r="3738" spans="1:3" ht="15">
      <c r="A3738" s="90" t="s">
        <v>270</v>
      </c>
      <c r="B3738" s="89" t="s">
        <v>3618</v>
      </c>
      <c r="C3738" s="102" t="s">
        <v>1027</v>
      </c>
    </row>
    <row r="3739" spans="1:3" ht="15">
      <c r="A3739" s="90" t="s">
        <v>270</v>
      </c>
      <c r="B3739" s="89" t="s">
        <v>2902</v>
      </c>
      <c r="C3739" s="102" t="s">
        <v>1027</v>
      </c>
    </row>
    <row r="3740" spans="1:3" ht="15">
      <c r="A3740" s="90" t="s">
        <v>270</v>
      </c>
      <c r="B3740" s="89" t="s">
        <v>4150</v>
      </c>
      <c r="C3740" s="102" t="s">
        <v>1027</v>
      </c>
    </row>
    <row r="3741" spans="1:3" ht="15">
      <c r="A3741" s="90" t="s">
        <v>270</v>
      </c>
      <c r="B3741" s="89" t="s">
        <v>4151</v>
      </c>
      <c r="C3741" s="102" t="s">
        <v>1027</v>
      </c>
    </row>
    <row r="3742" spans="1:3" ht="15">
      <c r="A3742" s="90" t="s">
        <v>270</v>
      </c>
      <c r="B3742" s="89" t="s">
        <v>4152</v>
      </c>
      <c r="C3742" s="102" t="s">
        <v>1027</v>
      </c>
    </row>
    <row r="3743" spans="1:3" ht="15">
      <c r="A3743" s="90" t="s">
        <v>270</v>
      </c>
      <c r="B3743" s="89" t="s">
        <v>3495</v>
      </c>
      <c r="C3743" s="102" t="s">
        <v>1027</v>
      </c>
    </row>
    <row r="3744" spans="1:3" ht="15">
      <c r="A3744" s="90" t="s">
        <v>270</v>
      </c>
      <c r="B3744" s="89" t="s">
        <v>3357</v>
      </c>
      <c r="C3744" s="102" t="s">
        <v>1027</v>
      </c>
    </row>
    <row r="3745" spans="1:3" ht="15">
      <c r="A3745" s="90" t="s">
        <v>270</v>
      </c>
      <c r="B3745" s="89" t="s">
        <v>2903</v>
      </c>
      <c r="C3745" s="102" t="s">
        <v>1027</v>
      </c>
    </row>
    <row r="3746" spans="1:3" ht="15">
      <c r="A3746" s="90" t="s">
        <v>270</v>
      </c>
      <c r="B3746" s="89" t="s">
        <v>3325</v>
      </c>
      <c r="C3746" s="102" t="s">
        <v>1027</v>
      </c>
    </row>
    <row r="3747" spans="1:3" ht="15">
      <c r="A3747" s="90" t="s">
        <v>270</v>
      </c>
      <c r="B3747" s="89" t="s">
        <v>3368</v>
      </c>
      <c r="C3747" s="102" t="s">
        <v>1027</v>
      </c>
    </row>
    <row r="3748" spans="1:3" ht="15">
      <c r="A3748" s="90" t="s">
        <v>270</v>
      </c>
      <c r="B3748" s="89" t="s">
        <v>4153</v>
      </c>
      <c r="C3748" s="102" t="s">
        <v>1027</v>
      </c>
    </row>
    <row r="3749" spans="1:3" ht="15">
      <c r="A3749" s="90" t="s">
        <v>270</v>
      </c>
      <c r="B3749" s="89" t="s">
        <v>4154</v>
      </c>
      <c r="C3749" s="102" t="s">
        <v>1027</v>
      </c>
    </row>
    <row r="3750" spans="1:3" ht="15">
      <c r="A3750" s="90" t="s">
        <v>270</v>
      </c>
      <c r="B3750" s="89" t="s">
        <v>3165</v>
      </c>
      <c r="C3750" s="102" t="s">
        <v>1027</v>
      </c>
    </row>
    <row r="3751" spans="1:3" ht="15">
      <c r="A3751" s="90" t="s">
        <v>270</v>
      </c>
      <c r="B3751" s="89" t="s">
        <v>2732</v>
      </c>
      <c r="C3751" s="102" t="s">
        <v>1027</v>
      </c>
    </row>
    <row r="3752" spans="1:3" ht="15">
      <c r="A3752" s="90" t="s">
        <v>270</v>
      </c>
      <c r="B3752" s="89" t="s">
        <v>4155</v>
      </c>
      <c r="C3752" s="102" t="s">
        <v>1027</v>
      </c>
    </row>
    <row r="3753" spans="1:3" ht="15">
      <c r="A3753" s="90" t="s">
        <v>270</v>
      </c>
      <c r="B3753" s="89" t="s">
        <v>4156</v>
      </c>
      <c r="C3753" s="102" t="s">
        <v>1027</v>
      </c>
    </row>
    <row r="3754" spans="1:3" ht="15">
      <c r="A3754" s="90" t="s">
        <v>270</v>
      </c>
      <c r="B3754" s="89" t="s">
        <v>4157</v>
      </c>
      <c r="C3754" s="102" t="s">
        <v>1027</v>
      </c>
    </row>
    <row r="3755" spans="1:3" ht="15">
      <c r="A3755" s="90" t="s">
        <v>270</v>
      </c>
      <c r="B3755" s="89" t="s">
        <v>4158</v>
      </c>
      <c r="C3755" s="102" t="s">
        <v>1027</v>
      </c>
    </row>
    <row r="3756" spans="1:3" ht="15">
      <c r="A3756" s="90" t="s">
        <v>270</v>
      </c>
      <c r="B3756" s="89" t="s">
        <v>4159</v>
      </c>
      <c r="C3756" s="102" t="s">
        <v>1027</v>
      </c>
    </row>
    <row r="3757" spans="1:3" ht="15">
      <c r="A3757" s="90" t="s">
        <v>270</v>
      </c>
      <c r="B3757" s="89" t="s">
        <v>4160</v>
      </c>
      <c r="C3757" s="102" t="s">
        <v>1027</v>
      </c>
    </row>
    <row r="3758" spans="1:3" ht="15">
      <c r="A3758" s="90" t="s">
        <v>270</v>
      </c>
      <c r="B3758" s="89" t="s">
        <v>2685</v>
      </c>
      <c r="C3758" s="102" t="s">
        <v>1027</v>
      </c>
    </row>
    <row r="3759" spans="1:3" ht="15">
      <c r="A3759" s="90" t="s">
        <v>270</v>
      </c>
      <c r="B3759" s="89" t="s">
        <v>2899</v>
      </c>
      <c r="C3759" s="102" t="s">
        <v>1027</v>
      </c>
    </row>
    <row r="3760" spans="1:3" ht="15">
      <c r="A3760" s="90" t="s">
        <v>270</v>
      </c>
      <c r="B3760" s="89" t="s">
        <v>426</v>
      </c>
      <c r="C3760" s="102" t="s">
        <v>1026</v>
      </c>
    </row>
    <row r="3761" spans="1:3" ht="15">
      <c r="A3761" s="90" t="s">
        <v>270</v>
      </c>
      <c r="B3761" s="89" t="s">
        <v>4161</v>
      </c>
      <c r="C3761" s="102" t="s">
        <v>1026</v>
      </c>
    </row>
    <row r="3762" spans="1:3" ht="15">
      <c r="A3762" s="90" t="s">
        <v>270</v>
      </c>
      <c r="B3762" s="89" t="s">
        <v>4162</v>
      </c>
      <c r="C3762" s="102" t="s">
        <v>1026</v>
      </c>
    </row>
    <row r="3763" spans="1:3" ht="15">
      <c r="A3763" s="90" t="s">
        <v>270</v>
      </c>
      <c r="B3763" s="89" t="s">
        <v>3618</v>
      </c>
      <c r="C3763" s="102" t="s">
        <v>1026</v>
      </c>
    </row>
    <row r="3764" spans="1:3" ht="15">
      <c r="A3764" s="90" t="s">
        <v>270</v>
      </c>
      <c r="B3764" s="89" t="s">
        <v>2902</v>
      </c>
      <c r="C3764" s="102" t="s">
        <v>1026</v>
      </c>
    </row>
    <row r="3765" spans="1:3" ht="15">
      <c r="A3765" s="90" t="s">
        <v>270</v>
      </c>
      <c r="B3765" s="89" t="s">
        <v>3137</v>
      </c>
      <c r="C3765" s="102" t="s">
        <v>1026</v>
      </c>
    </row>
    <row r="3766" spans="1:3" ht="15">
      <c r="A3766" s="90" t="s">
        <v>270</v>
      </c>
      <c r="B3766" s="89" t="s">
        <v>2708</v>
      </c>
      <c r="C3766" s="102" t="s">
        <v>1026</v>
      </c>
    </row>
    <row r="3767" spans="1:3" ht="15">
      <c r="A3767" s="90" t="s">
        <v>270</v>
      </c>
      <c r="B3767" s="89" t="s">
        <v>712</v>
      </c>
      <c r="C3767" s="102" t="s">
        <v>1026</v>
      </c>
    </row>
    <row r="3768" spans="1:3" ht="15">
      <c r="A3768" s="90" t="s">
        <v>270</v>
      </c>
      <c r="B3768" s="89" t="s">
        <v>3189</v>
      </c>
      <c r="C3768" s="102" t="s">
        <v>1026</v>
      </c>
    </row>
    <row r="3769" spans="1:3" ht="15">
      <c r="A3769" s="90" t="s">
        <v>270</v>
      </c>
      <c r="B3769" s="89" t="s">
        <v>4163</v>
      </c>
      <c r="C3769" s="102" t="s">
        <v>1026</v>
      </c>
    </row>
    <row r="3770" spans="1:3" ht="15">
      <c r="A3770" s="90" t="s">
        <v>270</v>
      </c>
      <c r="B3770" s="89" t="s">
        <v>3305</v>
      </c>
      <c r="C3770" s="102" t="s">
        <v>1026</v>
      </c>
    </row>
    <row r="3771" spans="1:3" ht="15">
      <c r="A3771" s="90" t="s">
        <v>270</v>
      </c>
      <c r="B3771" s="89" t="s">
        <v>3217</v>
      </c>
      <c r="C3771" s="102" t="s">
        <v>1026</v>
      </c>
    </row>
    <row r="3772" spans="1:3" ht="15">
      <c r="A3772" s="90" t="s">
        <v>270</v>
      </c>
      <c r="B3772" s="89" t="s">
        <v>4164</v>
      </c>
      <c r="C3772" s="102" t="s">
        <v>1026</v>
      </c>
    </row>
    <row r="3773" spans="1:3" ht="15">
      <c r="A3773" s="90" t="s">
        <v>270</v>
      </c>
      <c r="B3773" s="89" t="s">
        <v>3033</v>
      </c>
      <c r="C3773" s="102" t="s">
        <v>1026</v>
      </c>
    </row>
    <row r="3774" spans="1:3" ht="15">
      <c r="A3774" s="90" t="s">
        <v>270</v>
      </c>
      <c r="B3774" s="89" t="s">
        <v>2962</v>
      </c>
      <c r="C3774" s="102" t="s">
        <v>1026</v>
      </c>
    </row>
    <row r="3775" spans="1:3" ht="15">
      <c r="A3775" s="90" t="s">
        <v>270</v>
      </c>
      <c r="B3775" s="89" t="s">
        <v>3155</v>
      </c>
      <c r="C3775" s="102" t="s">
        <v>1026</v>
      </c>
    </row>
    <row r="3776" spans="1:3" ht="15">
      <c r="A3776" s="90" t="s">
        <v>270</v>
      </c>
      <c r="B3776" s="89" t="s">
        <v>3357</v>
      </c>
      <c r="C3776" s="102" t="s">
        <v>1026</v>
      </c>
    </row>
    <row r="3777" spans="1:3" ht="15">
      <c r="A3777" s="90" t="s">
        <v>270</v>
      </c>
      <c r="B3777" s="89" t="s">
        <v>4165</v>
      </c>
      <c r="C3777" s="102" t="s">
        <v>1026</v>
      </c>
    </row>
    <row r="3778" spans="1:3" ht="15">
      <c r="A3778" s="90" t="s">
        <v>270</v>
      </c>
      <c r="B3778" s="89" t="s">
        <v>4166</v>
      </c>
      <c r="C3778" s="102" t="s">
        <v>1026</v>
      </c>
    </row>
    <row r="3779" spans="1:3" ht="15">
      <c r="A3779" s="90" t="s">
        <v>270</v>
      </c>
      <c r="B3779" s="89" t="s">
        <v>3783</v>
      </c>
      <c r="C3779" s="102" t="s">
        <v>1026</v>
      </c>
    </row>
    <row r="3780" spans="1:3" ht="15">
      <c r="A3780" s="90" t="s">
        <v>270</v>
      </c>
      <c r="B3780" s="89" t="s">
        <v>4167</v>
      </c>
      <c r="C3780" s="102" t="s">
        <v>1026</v>
      </c>
    </row>
    <row r="3781" spans="1:3" ht="15">
      <c r="A3781" s="90" t="s">
        <v>270</v>
      </c>
      <c r="B3781" s="89" t="s">
        <v>4168</v>
      </c>
      <c r="C3781" s="102" t="s">
        <v>1026</v>
      </c>
    </row>
    <row r="3782" spans="1:3" ht="15">
      <c r="A3782" s="90" t="s">
        <v>270</v>
      </c>
      <c r="B3782" s="89" t="s">
        <v>4169</v>
      </c>
      <c r="C3782" s="102" t="s">
        <v>1026</v>
      </c>
    </row>
    <row r="3783" spans="1:3" ht="15">
      <c r="A3783" s="90" t="s">
        <v>269</v>
      </c>
      <c r="B3783" s="89" t="s">
        <v>4141</v>
      </c>
      <c r="C3783" s="102" t="s">
        <v>1025</v>
      </c>
    </row>
    <row r="3784" spans="1:3" ht="15">
      <c r="A3784" s="90" t="s">
        <v>269</v>
      </c>
      <c r="B3784" s="89" t="s">
        <v>2904</v>
      </c>
      <c r="C3784" s="102" t="s">
        <v>1025</v>
      </c>
    </row>
    <row r="3785" spans="1:3" ht="15">
      <c r="A3785" s="90" t="s">
        <v>269</v>
      </c>
      <c r="B3785" s="89" t="s">
        <v>3979</v>
      </c>
      <c r="C3785" s="102" t="s">
        <v>1025</v>
      </c>
    </row>
    <row r="3786" spans="1:3" ht="15">
      <c r="A3786" s="90" t="s">
        <v>269</v>
      </c>
      <c r="B3786" s="89" t="s">
        <v>3325</v>
      </c>
      <c r="C3786" s="102" t="s">
        <v>1025</v>
      </c>
    </row>
    <row r="3787" spans="1:3" ht="15">
      <c r="A3787" s="90" t="s">
        <v>269</v>
      </c>
      <c r="B3787" s="89" t="s">
        <v>3289</v>
      </c>
      <c r="C3787" s="102" t="s">
        <v>1025</v>
      </c>
    </row>
    <row r="3788" spans="1:3" ht="15">
      <c r="A3788" s="90" t="s">
        <v>269</v>
      </c>
      <c r="B3788" s="89" t="s">
        <v>2905</v>
      </c>
      <c r="C3788" s="102" t="s">
        <v>1025</v>
      </c>
    </row>
    <row r="3789" spans="1:3" ht="15">
      <c r="A3789" s="90" t="s">
        <v>269</v>
      </c>
      <c r="B3789" s="89" t="s">
        <v>3309</v>
      </c>
      <c r="C3789" s="102" t="s">
        <v>1025</v>
      </c>
    </row>
    <row r="3790" spans="1:3" ht="15">
      <c r="A3790" s="90" t="s">
        <v>269</v>
      </c>
      <c r="B3790" s="89" t="s">
        <v>3155</v>
      </c>
      <c r="C3790" s="102" t="s">
        <v>1025</v>
      </c>
    </row>
    <row r="3791" spans="1:3" ht="15">
      <c r="A3791" s="90" t="s">
        <v>269</v>
      </c>
      <c r="B3791" s="89" t="s">
        <v>3661</v>
      </c>
      <c r="C3791" s="102" t="s">
        <v>1025</v>
      </c>
    </row>
    <row r="3792" spans="1:3" ht="15">
      <c r="A3792" s="90" t="s">
        <v>269</v>
      </c>
      <c r="B3792" s="89" t="s">
        <v>2706</v>
      </c>
      <c r="C3792" s="102" t="s">
        <v>1025</v>
      </c>
    </row>
    <row r="3793" spans="1:3" ht="15">
      <c r="A3793" s="90" t="s">
        <v>269</v>
      </c>
      <c r="B3793" s="89" t="s">
        <v>2906</v>
      </c>
      <c r="C3793" s="102" t="s">
        <v>1025</v>
      </c>
    </row>
    <row r="3794" spans="1:3" ht="15">
      <c r="A3794" s="90" t="s">
        <v>269</v>
      </c>
      <c r="B3794" s="89" t="s">
        <v>4170</v>
      </c>
      <c r="C3794" s="102" t="s">
        <v>1025</v>
      </c>
    </row>
    <row r="3795" spans="1:3" ht="15">
      <c r="A3795" s="90" t="s">
        <v>269</v>
      </c>
      <c r="B3795" s="89" t="s">
        <v>3263</v>
      </c>
      <c r="C3795" s="102" t="s">
        <v>1025</v>
      </c>
    </row>
    <row r="3796" spans="1:3" ht="15">
      <c r="A3796" s="90" t="s">
        <v>269</v>
      </c>
      <c r="B3796" s="89" t="s">
        <v>3892</v>
      </c>
      <c r="C3796" s="102" t="s">
        <v>1025</v>
      </c>
    </row>
    <row r="3797" spans="1:3" ht="15">
      <c r="A3797" s="90" t="s">
        <v>269</v>
      </c>
      <c r="B3797" s="89" t="s">
        <v>3141</v>
      </c>
      <c r="C3797" s="102" t="s">
        <v>1025</v>
      </c>
    </row>
    <row r="3798" spans="1:3" ht="15">
      <c r="A3798" s="90" t="s">
        <v>269</v>
      </c>
      <c r="B3798" s="89" t="s">
        <v>2907</v>
      </c>
      <c r="C3798" s="102" t="s">
        <v>1025</v>
      </c>
    </row>
    <row r="3799" spans="1:3" ht="15">
      <c r="A3799" s="90" t="s">
        <v>269</v>
      </c>
      <c r="B3799" s="89" t="s">
        <v>2908</v>
      </c>
      <c r="C3799" s="102" t="s">
        <v>1025</v>
      </c>
    </row>
    <row r="3800" spans="1:3" ht="15">
      <c r="A3800" s="90" t="s">
        <v>269</v>
      </c>
      <c r="B3800" s="89" t="s">
        <v>2909</v>
      </c>
      <c r="C3800" s="102" t="s">
        <v>1025</v>
      </c>
    </row>
    <row r="3801" spans="1:3" ht="15">
      <c r="A3801" s="90" t="s">
        <v>269</v>
      </c>
      <c r="B3801" s="89" t="s">
        <v>2792</v>
      </c>
      <c r="C3801" s="102" t="s">
        <v>1025</v>
      </c>
    </row>
    <row r="3802" spans="1:3" ht="15">
      <c r="A3802" s="90" t="s">
        <v>269</v>
      </c>
      <c r="B3802" s="89" t="s">
        <v>2806</v>
      </c>
      <c r="C3802" s="102" t="s">
        <v>1025</v>
      </c>
    </row>
    <row r="3803" spans="1:3" ht="15">
      <c r="A3803" s="90" t="s">
        <v>269</v>
      </c>
      <c r="B3803" s="89" t="s">
        <v>3339</v>
      </c>
      <c r="C3803" s="102" t="s">
        <v>1025</v>
      </c>
    </row>
    <row r="3804" spans="1:3" ht="15">
      <c r="A3804" s="90" t="s">
        <v>269</v>
      </c>
      <c r="B3804" s="89" t="s">
        <v>4129</v>
      </c>
      <c r="C3804" s="102" t="s">
        <v>1025</v>
      </c>
    </row>
    <row r="3805" spans="1:3" ht="15">
      <c r="A3805" s="90" t="s">
        <v>269</v>
      </c>
      <c r="B3805" s="89" t="s">
        <v>712</v>
      </c>
      <c r="C3805" s="102" t="s">
        <v>1025</v>
      </c>
    </row>
    <row r="3806" spans="1:3" ht="15">
      <c r="A3806" s="90" t="s">
        <v>269</v>
      </c>
      <c r="B3806" s="89" t="s">
        <v>2910</v>
      </c>
      <c r="C3806" s="102" t="s">
        <v>1025</v>
      </c>
    </row>
    <row r="3807" spans="1:3" ht="15">
      <c r="A3807" s="90" t="s">
        <v>297</v>
      </c>
      <c r="B3807" s="89" t="s">
        <v>3189</v>
      </c>
      <c r="C3807" s="102" t="s">
        <v>1076</v>
      </c>
    </row>
    <row r="3808" spans="1:3" ht="15">
      <c r="A3808" s="90" t="s">
        <v>297</v>
      </c>
      <c r="B3808" s="89" t="s">
        <v>4171</v>
      </c>
      <c r="C3808" s="102" t="s">
        <v>1076</v>
      </c>
    </row>
    <row r="3809" spans="1:3" ht="15">
      <c r="A3809" s="90" t="s">
        <v>297</v>
      </c>
      <c r="B3809" s="89" t="s">
        <v>3165</v>
      </c>
      <c r="C3809" s="102" t="s">
        <v>1076</v>
      </c>
    </row>
    <row r="3810" spans="1:3" ht="15">
      <c r="A3810" s="90" t="s">
        <v>297</v>
      </c>
      <c r="B3810" s="89" t="s">
        <v>712</v>
      </c>
      <c r="C3810" s="102" t="s">
        <v>1076</v>
      </c>
    </row>
    <row r="3811" spans="1:3" ht="15">
      <c r="A3811" s="90" t="s">
        <v>297</v>
      </c>
      <c r="B3811" s="89" t="s">
        <v>2713</v>
      </c>
      <c r="C3811" s="102" t="s">
        <v>1076</v>
      </c>
    </row>
    <row r="3812" spans="1:3" ht="15">
      <c r="A3812" s="90" t="s">
        <v>297</v>
      </c>
      <c r="B3812" s="89" t="s">
        <v>4172</v>
      </c>
      <c r="C3812" s="102" t="s">
        <v>1076</v>
      </c>
    </row>
    <row r="3813" spans="1:3" ht="15">
      <c r="A3813" s="90" t="s">
        <v>297</v>
      </c>
      <c r="B3813" s="89" t="s">
        <v>4173</v>
      </c>
      <c r="C3813" s="102" t="s">
        <v>1076</v>
      </c>
    </row>
    <row r="3814" spans="1:3" ht="15">
      <c r="A3814" s="90" t="s">
        <v>297</v>
      </c>
      <c r="B3814" s="89" t="s">
        <v>3475</v>
      </c>
      <c r="C3814" s="102" t="s">
        <v>1076</v>
      </c>
    </row>
    <row r="3815" spans="1:3" ht="15">
      <c r="A3815" s="90" t="s">
        <v>297</v>
      </c>
      <c r="B3815" s="89" t="s">
        <v>4174</v>
      </c>
      <c r="C3815" s="102" t="s">
        <v>1076</v>
      </c>
    </row>
    <row r="3816" spans="1:3" ht="15">
      <c r="A3816" s="90" t="s">
        <v>297</v>
      </c>
      <c r="B3816" s="89" t="s">
        <v>3137</v>
      </c>
      <c r="C3816" s="102" t="s">
        <v>1076</v>
      </c>
    </row>
    <row r="3817" spans="1:3" ht="15">
      <c r="A3817" s="90" t="s">
        <v>297</v>
      </c>
      <c r="B3817" s="89" t="s">
        <v>4175</v>
      </c>
      <c r="C3817" s="102" t="s">
        <v>1076</v>
      </c>
    </row>
    <row r="3818" spans="1:3" ht="15">
      <c r="A3818" s="90" t="s">
        <v>297</v>
      </c>
      <c r="B3818" s="89" t="s">
        <v>3299</v>
      </c>
      <c r="C3818" s="102" t="s">
        <v>1076</v>
      </c>
    </row>
    <row r="3819" spans="1:3" ht="15">
      <c r="A3819" s="90" t="s">
        <v>297</v>
      </c>
      <c r="B3819" s="89" t="s">
        <v>4176</v>
      </c>
      <c r="C3819" s="102" t="s">
        <v>1076</v>
      </c>
    </row>
    <row r="3820" spans="1:3" ht="15">
      <c r="A3820" s="90" t="s">
        <v>297</v>
      </c>
      <c r="B3820" s="89" t="s">
        <v>4177</v>
      </c>
      <c r="C3820" s="102" t="s">
        <v>1076</v>
      </c>
    </row>
    <row r="3821" spans="1:3" ht="15">
      <c r="A3821" s="90" t="s">
        <v>297</v>
      </c>
      <c r="B3821" s="89" t="s">
        <v>3211</v>
      </c>
      <c r="C3821" s="102" t="s">
        <v>1076</v>
      </c>
    </row>
    <row r="3822" spans="1:3" ht="15">
      <c r="A3822" s="90" t="s">
        <v>297</v>
      </c>
      <c r="B3822" s="89" t="s">
        <v>4178</v>
      </c>
      <c r="C3822" s="102" t="s">
        <v>1076</v>
      </c>
    </row>
    <row r="3823" spans="1:3" ht="15">
      <c r="A3823" s="90" t="s">
        <v>297</v>
      </c>
      <c r="B3823" s="89" t="s">
        <v>3192</v>
      </c>
      <c r="C3823" s="102" t="s">
        <v>1076</v>
      </c>
    </row>
    <row r="3824" spans="1:3" ht="15">
      <c r="A3824" s="90" t="s">
        <v>297</v>
      </c>
      <c r="B3824" s="89" t="s">
        <v>3141</v>
      </c>
      <c r="C3824" s="102" t="s">
        <v>1076</v>
      </c>
    </row>
    <row r="3825" spans="1:3" ht="15">
      <c r="A3825" s="90" t="s">
        <v>297</v>
      </c>
      <c r="B3825" s="89" t="s">
        <v>4179</v>
      </c>
      <c r="C3825" s="102" t="s">
        <v>1076</v>
      </c>
    </row>
    <row r="3826" spans="1:3" ht="15">
      <c r="A3826" s="90" t="s">
        <v>297</v>
      </c>
      <c r="B3826" s="89" t="s">
        <v>3334</v>
      </c>
      <c r="C3826" s="102" t="s">
        <v>1076</v>
      </c>
    </row>
    <row r="3827" spans="1:3" ht="15">
      <c r="A3827" s="90" t="s">
        <v>297</v>
      </c>
      <c r="B3827" s="89" t="s">
        <v>3024</v>
      </c>
      <c r="C3827" s="102" t="s">
        <v>1076</v>
      </c>
    </row>
    <row r="3828" spans="1:3" ht="15">
      <c r="A3828" s="90" t="s">
        <v>297</v>
      </c>
      <c r="B3828" s="89" t="s">
        <v>4180</v>
      </c>
      <c r="C3828" s="102" t="s">
        <v>1076</v>
      </c>
    </row>
    <row r="3829" spans="1:3" ht="15">
      <c r="A3829" s="90" t="s">
        <v>297</v>
      </c>
      <c r="B3829" s="89" t="s">
        <v>4181</v>
      </c>
      <c r="C3829" s="102" t="s">
        <v>1076</v>
      </c>
    </row>
    <row r="3830" spans="1:3" ht="15">
      <c r="A3830" s="90" t="s">
        <v>297</v>
      </c>
      <c r="B3830" s="89" t="s">
        <v>4182</v>
      </c>
      <c r="C3830" s="102" t="s">
        <v>1076</v>
      </c>
    </row>
    <row r="3831" spans="1:3" ht="15">
      <c r="A3831" s="90" t="s">
        <v>297</v>
      </c>
      <c r="B3831" s="89" t="s">
        <v>4183</v>
      </c>
      <c r="C3831" s="102" t="s">
        <v>1076</v>
      </c>
    </row>
    <row r="3832" spans="1:3" ht="15">
      <c r="A3832" s="90" t="s">
        <v>297</v>
      </c>
      <c r="B3832" s="89" t="s">
        <v>3801</v>
      </c>
      <c r="C3832" s="102" t="s">
        <v>1076</v>
      </c>
    </row>
    <row r="3833" spans="1:3" ht="15">
      <c r="A3833" s="90" t="s">
        <v>297</v>
      </c>
      <c r="B3833" s="89" t="s">
        <v>4184</v>
      </c>
      <c r="C3833" s="102" t="s">
        <v>1076</v>
      </c>
    </row>
    <row r="3834" spans="1:3" ht="15">
      <c r="A3834" s="90" t="s">
        <v>297</v>
      </c>
      <c r="B3834" s="89" t="s">
        <v>2676</v>
      </c>
      <c r="C3834" s="102" t="s">
        <v>1076</v>
      </c>
    </row>
    <row r="3835" spans="1:3" ht="15">
      <c r="A3835" s="90" t="s">
        <v>297</v>
      </c>
      <c r="B3835" s="89" t="s">
        <v>4185</v>
      </c>
      <c r="C3835" s="102" t="s">
        <v>1076</v>
      </c>
    </row>
    <row r="3836" spans="1:3" ht="15">
      <c r="A3836" s="90" t="s">
        <v>297</v>
      </c>
      <c r="B3836" s="89" t="s">
        <v>4186</v>
      </c>
      <c r="C3836" s="102" t="s">
        <v>1076</v>
      </c>
    </row>
    <row r="3837" spans="1:3" ht="15">
      <c r="A3837" s="90" t="s">
        <v>297</v>
      </c>
      <c r="B3837" s="89" t="s">
        <v>3642</v>
      </c>
      <c r="C3837" s="102" t="s">
        <v>1076</v>
      </c>
    </row>
    <row r="3838" spans="1:3" ht="15">
      <c r="A3838" s="90" t="s">
        <v>297</v>
      </c>
      <c r="B3838" s="89" t="s">
        <v>3303</v>
      </c>
      <c r="C3838" s="102" t="s">
        <v>1076</v>
      </c>
    </row>
    <row r="3839" spans="1:3" ht="15">
      <c r="A3839" s="90" t="s">
        <v>297</v>
      </c>
      <c r="B3839" s="89" t="s">
        <v>2681</v>
      </c>
      <c r="C3839" s="102" t="s">
        <v>1076</v>
      </c>
    </row>
    <row r="3840" spans="1:3" ht="15">
      <c r="A3840" s="90" t="s">
        <v>297</v>
      </c>
      <c r="B3840" s="89" t="s">
        <v>4187</v>
      </c>
      <c r="C3840" s="102" t="s">
        <v>1076</v>
      </c>
    </row>
    <row r="3841" spans="1:3" ht="15">
      <c r="A3841" s="90" t="s">
        <v>297</v>
      </c>
      <c r="B3841" s="89" t="s">
        <v>4141</v>
      </c>
      <c r="C3841" s="102" t="s">
        <v>1075</v>
      </c>
    </row>
    <row r="3842" spans="1:3" ht="15">
      <c r="A3842" s="90" t="s">
        <v>297</v>
      </c>
      <c r="B3842" s="89" t="s">
        <v>2904</v>
      </c>
      <c r="C3842" s="102" t="s">
        <v>1075</v>
      </c>
    </row>
    <row r="3843" spans="1:3" ht="15">
      <c r="A3843" s="90" t="s">
        <v>297</v>
      </c>
      <c r="B3843" s="89" t="s">
        <v>3979</v>
      </c>
      <c r="C3843" s="102" t="s">
        <v>1075</v>
      </c>
    </row>
    <row r="3844" spans="1:3" ht="15">
      <c r="A3844" s="90" t="s">
        <v>297</v>
      </c>
      <c r="B3844" s="89" t="s">
        <v>3325</v>
      </c>
      <c r="C3844" s="102" t="s">
        <v>1075</v>
      </c>
    </row>
    <row r="3845" spans="1:3" ht="15">
      <c r="A3845" s="90" t="s">
        <v>297</v>
      </c>
      <c r="B3845" s="89" t="s">
        <v>3289</v>
      </c>
      <c r="C3845" s="102" t="s">
        <v>1075</v>
      </c>
    </row>
    <row r="3846" spans="1:3" ht="15">
      <c r="A3846" s="90" t="s">
        <v>297</v>
      </c>
      <c r="B3846" s="89" t="s">
        <v>2905</v>
      </c>
      <c r="C3846" s="102" t="s">
        <v>1075</v>
      </c>
    </row>
    <row r="3847" spans="1:3" ht="15">
      <c r="A3847" s="90" t="s">
        <v>297</v>
      </c>
      <c r="B3847" s="89" t="s">
        <v>3309</v>
      </c>
      <c r="C3847" s="102" t="s">
        <v>1075</v>
      </c>
    </row>
    <row r="3848" spans="1:3" ht="15">
      <c r="A3848" s="90" t="s">
        <v>297</v>
      </c>
      <c r="B3848" s="89" t="s">
        <v>3155</v>
      </c>
      <c r="C3848" s="102" t="s">
        <v>1075</v>
      </c>
    </row>
    <row r="3849" spans="1:3" ht="15">
      <c r="A3849" s="90" t="s">
        <v>297</v>
      </c>
      <c r="B3849" s="89" t="s">
        <v>3661</v>
      </c>
      <c r="C3849" s="102" t="s">
        <v>1075</v>
      </c>
    </row>
    <row r="3850" spans="1:3" ht="15">
      <c r="A3850" s="90" t="s">
        <v>297</v>
      </c>
      <c r="B3850" s="89" t="s">
        <v>2706</v>
      </c>
      <c r="C3850" s="102" t="s">
        <v>1075</v>
      </c>
    </row>
    <row r="3851" spans="1:3" ht="15">
      <c r="A3851" s="90" t="s">
        <v>297</v>
      </c>
      <c r="B3851" s="89" t="s">
        <v>2906</v>
      </c>
      <c r="C3851" s="102" t="s">
        <v>1075</v>
      </c>
    </row>
    <row r="3852" spans="1:3" ht="15">
      <c r="A3852" s="90" t="s">
        <v>297</v>
      </c>
      <c r="B3852" s="89" t="s">
        <v>4170</v>
      </c>
      <c r="C3852" s="102" t="s">
        <v>1075</v>
      </c>
    </row>
    <row r="3853" spans="1:3" ht="15">
      <c r="A3853" s="90" t="s">
        <v>297</v>
      </c>
      <c r="B3853" s="89" t="s">
        <v>3263</v>
      </c>
      <c r="C3853" s="102" t="s">
        <v>1075</v>
      </c>
    </row>
    <row r="3854" spans="1:3" ht="15">
      <c r="A3854" s="90" t="s">
        <v>297</v>
      </c>
      <c r="B3854" s="89" t="s">
        <v>3892</v>
      </c>
      <c r="C3854" s="102" t="s">
        <v>1075</v>
      </c>
    </row>
    <row r="3855" spans="1:3" ht="15">
      <c r="A3855" s="90" t="s">
        <v>297</v>
      </c>
      <c r="B3855" s="89" t="s">
        <v>3141</v>
      </c>
      <c r="C3855" s="102" t="s">
        <v>1075</v>
      </c>
    </row>
    <row r="3856" spans="1:3" ht="15">
      <c r="A3856" s="90" t="s">
        <v>297</v>
      </c>
      <c r="B3856" s="89" t="s">
        <v>2907</v>
      </c>
      <c r="C3856" s="102" t="s">
        <v>1075</v>
      </c>
    </row>
    <row r="3857" spans="1:3" ht="15">
      <c r="A3857" s="90" t="s">
        <v>297</v>
      </c>
      <c r="B3857" s="89" t="s">
        <v>2908</v>
      </c>
      <c r="C3857" s="102" t="s">
        <v>1075</v>
      </c>
    </row>
    <row r="3858" spans="1:3" ht="15">
      <c r="A3858" s="90" t="s">
        <v>297</v>
      </c>
      <c r="B3858" s="89" t="s">
        <v>2909</v>
      </c>
      <c r="C3858" s="102" t="s">
        <v>1075</v>
      </c>
    </row>
    <row r="3859" spans="1:3" ht="15">
      <c r="A3859" s="90" t="s">
        <v>297</v>
      </c>
      <c r="B3859" s="89" t="s">
        <v>2792</v>
      </c>
      <c r="C3859" s="102" t="s">
        <v>1075</v>
      </c>
    </row>
    <row r="3860" spans="1:3" ht="15">
      <c r="A3860" s="90" t="s">
        <v>297</v>
      </c>
      <c r="B3860" s="89" t="s">
        <v>2806</v>
      </c>
      <c r="C3860" s="102" t="s">
        <v>1075</v>
      </c>
    </row>
    <row r="3861" spans="1:3" ht="15">
      <c r="A3861" s="90" t="s">
        <v>297</v>
      </c>
      <c r="B3861" s="89" t="s">
        <v>3339</v>
      </c>
      <c r="C3861" s="102" t="s">
        <v>1075</v>
      </c>
    </row>
    <row r="3862" spans="1:3" ht="15">
      <c r="A3862" s="90" t="s">
        <v>297</v>
      </c>
      <c r="B3862" s="89" t="s">
        <v>4129</v>
      </c>
      <c r="C3862" s="102" t="s">
        <v>1075</v>
      </c>
    </row>
    <row r="3863" spans="1:3" ht="15">
      <c r="A3863" s="90" t="s">
        <v>297</v>
      </c>
      <c r="B3863" s="89" t="s">
        <v>712</v>
      </c>
      <c r="C3863" s="102" t="s">
        <v>1075</v>
      </c>
    </row>
    <row r="3864" spans="1:3" ht="15">
      <c r="A3864" s="90" t="s">
        <v>297</v>
      </c>
      <c r="B3864" s="89" t="s">
        <v>2910</v>
      </c>
      <c r="C3864" s="102" t="s">
        <v>1075</v>
      </c>
    </row>
    <row r="3865" spans="1:3" ht="15">
      <c r="A3865" s="90" t="s">
        <v>297</v>
      </c>
      <c r="B3865" s="89" t="s">
        <v>3928</v>
      </c>
      <c r="C3865" s="102" t="s">
        <v>1073</v>
      </c>
    </row>
    <row r="3866" spans="1:3" ht="15">
      <c r="A3866" s="90" t="s">
        <v>297</v>
      </c>
      <c r="B3866" s="89" t="s">
        <v>4188</v>
      </c>
      <c r="C3866" s="102" t="s">
        <v>1073</v>
      </c>
    </row>
    <row r="3867" spans="1:3" ht="15">
      <c r="A3867" s="90" t="s">
        <v>297</v>
      </c>
      <c r="B3867" s="89" t="s">
        <v>4189</v>
      </c>
      <c r="C3867" s="102" t="s">
        <v>1073</v>
      </c>
    </row>
    <row r="3868" spans="1:3" ht="15">
      <c r="A3868" s="90" t="s">
        <v>297</v>
      </c>
      <c r="B3868" s="89" t="s">
        <v>4190</v>
      </c>
      <c r="C3868" s="102" t="s">
        <v>1073</v>
      </c>
    </row>
    <row r="3869" spans="1:3" ht="15">
      <c r="A3869" s="90" t="s">
        <v>297</v>
      </c>
      <c r="B3869" s="89" t="s">
        <v>4191</v>
      </c>
      <c r="C3869" s="102" t="s">
        <v>1073</v>
      </c>
    </row>
    <row r="3870" spans="1:3" ht="15">
      <c r="A3870" s="90" t="s">
        <v>297</v>
      </c>
      <c r="B3870" s="89" t="s">
        <v>4192</v>
      </c>
      <c r="C3870" s="102" t="s">
        <v>1073</v>
      </c>
    </row>
    <row r="3871" spans="1:3" ht="15">
      <c r="A3871" s="90" t="s">
        <v>297</v>
      </c>
      <c r="B3871" s="89" t="s">
        <v>3261</v>
      </c>
      <c r="C3871" s="102" t="s">
        <v>1073</v>
      </c>
    </row>
    <row r="3872" spans="1:3" ht="15">
      <c r="A3872" s="90" t="s">
        <v>297</v>
      </c>
      <c r="B3872" s="89" t="s">
        <v>4193</v>
      </c>
      <c r="C3872" s="102" t="s">
        <v>1073</v>
      </c>
    </row>
    <row r="3873" spans="1:3" ht="15">
      <c r="A3873" s="90" t="s">
        <v>297</v>
      </c>
      <c r="B3873" s="89" t="s">
        <v>4194</v>
      </c>
      <c r="C3873" s="102" t="s">
        <v>1073</v>
      </c>
    </row>
    <row r="3874" spans="1:3" ht="15">
      <c r="A3874" s="90" t="s">
        <v>297</v>
      </c>
      <c r="B3874" s="89" t="s">
        <v>4195</v>
      </c>
      <c r="C3874" s="102" t="s">
        <v>1073</v>
      </c>
    </row>
    <row r="3875" spans="1:3" ht="15">
      <c r="A3875" s="90" t="s">
        <v>297</v>
      </c>
      <c r="B3875" s="89" t="s">
        <v>4196</v>
      </c>
      <c r="C3875" s="102" t="s">
        <v>1073</v>
      </c>
    </row>
    <row r="3876" spans="1:3" ht="15">
      <c r="A3876" s="90" t="s">
        <v>297</v>
      </c>
      <c r="B3876" s="89" t="s">
        <v>4197</v>
      </c>
      <c r="C3876" s="102" t="s">
        <v>1073</v>
      </c>
    </row>
    <row r="3877" spans="1:3" ht="15">
      <c r="A3877" s="90" t="s">
        <v>297</v>
      </c>
      <c r="B3877" s="89" t="s">
        <v>4198</v>
      </c>
      <c r="C3877" s="102" t="s">
        <v>1073</v>
      </c>
    </row>
    <row r="3878" spans="1:3" ht="15">
      <c r="A3878" s="90" t="s">
        <v>297</v>
      </c>
      <c r="B3878" s="89" t="s">
        <v>3204</v>
      </c>
      <c r="C3878" s="102" t="s">
        <v>1073</v>
      </c>
    </row>
    <row r="3879" spans="1:3" ht="15">
      <c r="A3879" s="90" t="s">
        <v>297</v>
      </c>
      <c r="B3879" s="89" t="s">
        <v>3141</v>
      </c>
      <c r="C3879" s="102" t="s">
        <v>1073</v>
      </c>
    </row>
    <row r="3880" spans="1:3" ht="15">
      <c r="A3880" s="90" t="s">
        <v>297</v>
      </c>
      <c r="B3880" s="89" t="s">
        <v>4199</v>
      </c>
      <c r="C3880" s="102" t="s">
        <v>1073</v>
      </c>
    </row>
    <row r="3881" spans="1:3" ht="15">
      <c r="A3881" s="90" t="s">
        <v>297</v>
      </c>
      <c r="B3881" s="89" t="s">
        <v>4200</v>
      </c>
      <c r="C3881" s="102" t="s">
        <v>1073</v>
      </c>
    </row>
    <row r="3882" spans="1:3" ht="15">
      <c r="A3882" s="90" t="s">
        <v>297</v>
      </c>
      <c r="B3882" s="89" t="s">
        <v>3932</v>
      </c>
      <c r="C3882" s="102" t="s">
        <v>1073</v>
      </c>
    </row>
    <row r="3883" spans="1:3" ht="15">
      <c r="A3883" s="90" t="s">
        <v>297</v>
      </c>
      <c r="B3883" s="89" t="s">
        <v>3933</v>
      </c>
      <c r="C3883" s="102" t="s">
        <v>1073</v>
      </c>
    </row>
    <row r="3884" spans="1:3" ht="15">
      <c r="A3884" s="90" t="s">
        <v>297</v>
      </c>
      <c r="B3884" s="89" t="s">
        <v>3201</v>
      </c>
      <c r="C3884" s="102" t="s">
        <v>1073</v>
      </c>
    </row>
    <row r="3885" spans="1:3" ht="15">
      <c r="A3885" s="90" t="s">
        <v>297</v>
      </c>
      <c r="B3885" s="89" t="s">
        <v>2847</v>
      </c>
      <c r="C3885" s="102" t="s">
        <v>1073</v>
      </c>
    </row>
    <row r="3886" spans="1:3" ht="15">
      <c r="A3886" s="90" t="s">
        <v>297</v>
      </c>
      <c r="B3886" s="89" t="s">
        <v>3046</v>
      </c>
      <c r="C3886" s="102" t="s">
        <v>1073</v>
      </c>
    </row>
    <row r="3887" spans="1:3" ht="15">
      <c r="A3887" s="90" t="s">
        <v>297</v>
      </c>
      <c r="B3887" s="89" t="s">
        <v>3161</v>
      </c>
      <c r="C3887" s="102" t="s">
        <v>1073</v>
      </c>
    </row>
    <row r="3888" spans="1:3" ht="15">
      <c r="A3888" s="90" t="s">
        <v>297</v>
      </c>
      <c r="B3888" s="89" t="s">
        <v>2787</v>
      </c>
      <c r="C3888" s="102" t="s">
        <v>1073</v>
      </c>
    </row>
    <row r="3889" spans="1:3" ht="15">
      <c r="A3889" s="90" t="s">
        <v>297</v>
      </c>
      <c r="B3889" s="89" t="s">
        <v>4201</v>
      </c>
      <c r="C3889" s="102" t="s">
        <v>1073</v>
      </c>
    </row>
    <row r="3890" spans="1:3" ht="15">
      <c r="A3890" s="90" t="s">
        <v>268</v>
      </c>
      <c r="B3890" s="89" t="s">
        <v>4141</v>
      </c>
      <c r="C3890" s="102" t="s">
        <v>1024</v>
      </c>
    </row>
    <row r="3891" spans="1:3" ht="15">
      <c r="A3891" s="90" t="s">
        <v>268</v>
      </c>
      <c r="B3891" s="89" t="s">
        <v>2904</v>
      </c>
      <c r="C3891" s="102" t="s">
        <v>1024</v>
      </c>
    </row>
    <row r="3892" spans="1:3" ht="15">
      <c r="A3892" s="90" t="s">
        <v>268</v>
      </c>
      <c r="B3892" s="89" t="s">
        <v>3979</v>
      </c>
      <c r="C3892" s="102" t="s">
        <v>1024</v>
      </c>
    </row>
    <row r="3893" spans="1:3" ht="15">
      <c r="A3893" s="90" t="s">
        <v>268</v>
      </c>
      <c r="B3893" s="89" t="s">
        <v>3325</v>
      </c>
      <c r="C3893" s="102" t="s">
        <v>1024</v>
      </c>
    </row>
    <row r="3894" spans="1:3" ht="15">
      <c r="A3894" s="90" t="s">
        <v>268</v>
      </c>
      <c r="B3894" s="89" t="s">
        <v>3289</v>
      </c>
      <c r="C3894" s="102" t="s">
        <v>1024</v>
      </c>
    </row>
    <row r="3895" spans="1:3" ht="15">
      <c r="A3895" s="90" t="s">
        <v>268</v>
      </c>
      <c r="B3895" s="89" t="s">
        <v>2905</v>
      </c>
      <c r="C3895" s="102" t="s">
        <v>1024</v>
      </c>
    </row>
    <row r="3896" spans="1:3" ht="15">
      <c r="A3896" s="90" t="s">
        <v>268</v>
      </c>
      <c r="B3896" s="89" t="s">
        <v>3309</v>
      </c>
      <c r="C3896" s="102" t="s">
        <v>1024</v>
      </c>
    </row>
    <row r="3897" spans="1:3" ht="15">
      <c r="A3897" s="90" t="s">
        <v>268</v>
      </c>
      <c r="B3897" s="89" t="s">
        <v>3155</v>
      </c>
      <c r="C3897" s="102" t="s">
        <v>1024</v>
      </c>
    </row>
    <row r="3898" spans="1:3" ht="15">
      <c r="A3898" s="90" t="s">
        <v>268</v>
      </c>
      <c r="B3898" s="89" t="s">
        <v>3661</v>
      </c>
      <c r="C3898" s="102" t="s">
        <v>1024</v>
      </c>
    </row>
    <row r="3899" spans="1:3" ht="15">
      <c r="A3899" s="90" t="s">
        <v>268</v>
      </c>
      <c r="B3899" s="89" t="s">
        <v>2706</v>
      </c>
      <c r="C3899" s="102" t="s">
        <v>1024</v>
      </c>
    </row>
    <row r="3900" spans="1:3" ht="15">
      <c r="A3900" s="90" t="s">
        <v>268</v>
      </c>
      <c r="B3900" s="89" t="s">
        <v>2906</v>
      </c>
      <c r="C3900" s="102" t="s">
        <v>1024</v>
      </c>
    </row>
    <row r="3901" spans="1:3" ht="15">
      <c r="A3901" s="90" t="s">
        <v>268</v>
      </c>
      <c r="B3901" s="89" t="s">
        <v>4170</v>
      </c>
      <c r="C3901" s="102" t="s">
        <v>1024</v>
      </c>
    </row>
    <row r="3902" spans="1:3" ht="15">
      <c r="A3902" s="90" t="s">
        <v>268</v>
      </c>
      <c r="B3902" s="89" t="s">
        <v>3263</v>
      </c>
      <c r="C3902" s="102" t="s">
        <v>1024</v>
      </c>
    </row>
    <row r="3903" spans="1:3" ht="15">
      <c r="A3903" s="90" t="s">
        <v>268</v>
      </c>
      <c r="B3903" s="89" t="s">
        <v>3892</v>
      </c>
      <c r="C3903" s="102" t="s">
        <v>1024</v>
      </c>
    </row>
    <row r="3904" spans="1:3" ht="15">
      <c r="A3904" s="90" t="s">
        <v>268</v>
      </c>
      <c r="B3904" s="89" t="s">
        <v>3141</v>
      </c>
      <c r="C3904" s="102" t="s">
        <v>1024</v>
      </c>
    </row>
    <row r="3905" spans="1:3" ht="15">
      <c r="A3905" s="90" t="s">
        <v>268</v>
      </c>
      <c r="B3905" s="89" t="s">
        <v>2907</v>
      </c>
      <c r="C3905" s="102" t="s">
        <v>1024</v>
      </c>
    </row>
    <row r="3906" spans="1:3" ht="15">
      <c r="A3906" s="90" t="s">
        <v>268</v>
      </c>
      <c r="B3906" s="89" t="s">
        <v>2908</v>
      </c>
      <c r="C3906" s="102" t="s">
        <v>1024</v>
      </c>
    </row>
    <row r="3907" spans="1:3" ht="15">
      <c r="A3907" s="90" t="s">
        <v>268</v>
      </c>
      <c r="B3907" s="89" t="s">
        <v>2909</v>
      </c>
      <c r="C3907" s="102" t="s">
        <v>1024</v>
      </c>
    </row>
    <row r="3908" spans="1:3" ht="15">
      <c r="A3908" s="90" t="s">
        <v>268</v>
      </c>
      <c r="B3908" s="89" t="s">
        <v>2792</v>
      </c>
      <c r="C3908" s="102" t="s">
        <v>1024</v>
      </c>
    </row>
    <row r="3909" spans="1:3" ht="15">
      <c r="A3909" s="90" t="s">
        <v>268</v>
      </c>
      <c r="B3909" s="89" t="s">
        <v>2806</v>
      </c>
      <c r="C3909" s="102" t="s">
        <v>1024</v>
      </c>
    </row>
    <row r="3910" spans="1:3" ht="15">
      <c r="A3910" s="90" t="s">
        <v>268</v>
      </c>
      <c r="B3910" s="89" t="s">
        <v>3339</v>
      </c>
      <c r="C3910" s="102" t="s">
        <v>1024</v>
      </c>
    </row>
    <row r="3911" spans="1:3" ht="15">
      <c r="A3911" s="90" t="s">
        <v>268</v>
      </c>
      <c r="B3911" s="89" t="s">
        <v>4129</v>
      </c>
      <c r="C3911" s="102" t="s">
        <v>1024</v>
      </c>
    </row>
    <row r="3912" spans="1:3" ht="15">
      <c r="A3912" s="90" t="s">
        <v>268</v>
      </c>
      <c r="B3912" s="89" t="s">
        <v>712</v>
      </c>
      <c r="C3912" s="102" t="s">
        <v>1024</v>
      </c>
    </row>
    <row r="3913" spans="1:3" ht="15">
      <c r="A3913" s="90" t="s">
        <v>268</v>
      </c>
      <c r="B3913" s="89" t="s">
        <v>2910</v>
      </c>
      <c r="C3913" s="102" t="s">
        <v>1024</v>
      </c>
    </row>
    <row r="3914" spans="1:3" ht="15">
      <c r="A3914" s="90" t="s">
        <v>267</v>
      </c>
      <c r="B3914" s="89" t="s">
        <v>423</v>
      </c>
      <c r="C3914" s="102" t="s">
        <v>1021</v>
      </c>
    </row>
    <row r="3915" spans="1:3" ht="15">
      <c r="A3915" s="90" t="s">
        <v>267</v>
      </c>
      <c r="B3915" s="89" t="s">
        <v>3980</v>
      </c>
      <c r="C3915" s="102" t="s">
        <v>1021</v>
      </c>
    </row>
    <row r="3916" spans="1:3" ht="15">
      <c r="A3916" s="90" t="s">
        <v>267</v>
      </c>
      <c r="B3916" s="89" t="s">
        <v>3981</v>
      </c>
      <c r="C3916" s="102" t="s">
        <v>1021</v>
      </c>
    </row>
    <row r="3917" spans="1:3" ht="15">
      <c r="A3917" s="90" t="s">
        <v>267</v>
      </c>
      <c r="B3917" s="89" t="s">
        <v>4202</v>
      </c>
      <c r="C3917" s="102" t="s">
        <v>1021</v>
      </c>
    </row>
    <row r="3918" spans="1:3" ht="15">
      <c r="A3918" s="90" t="s">
        <v>267</v>
      </c>
      <c r="B3918" s="89" t="s">
        <v>3204</v>
      </c>
      <c r="C3918" s="102" t="s">
        <v>1021</v>
      </c>
    </row>
    <row r="3919" spans="1:3" ht="15">
      <c r="A3919" s="90" t="s">
        <v>267</v>
      </c>
      <c r="B3919" s="89" t="s">
        <v>3141</v>
      </c>
      <c r="C3919" s="102" t="s">
        <v>1021</v>
      </c>
    </row>
    <row r="3920" spans="1:3" ht="15">
      <c r="A3920" s="90" t="s">
        <v>267</v>
      </c>
      <c r="B3920" s="89" t="s">
        <v>4203</v>
      </c>
      <c r="C3920" s="102" t="s">
        <v>1021</v>
      </c>
    </row>
    <row r="3921" spans="1:3" ht="15">
      <c r="A3921" s="90" t="s">
        <v>267</v>
      </c>
      <c r="B3921" s="89" t="s">
        <v>2681</v>
      </c>
      <c r="C3921" s="102" t="s">
        <v>1021</v>
      </c>
    </row>
    <row r="3922" spans="1:3" ht="15">
      <c r="A3922" s="90" t="s">
        <v>267</v>
      </c>
      <c r="B3922" s="89" t="s">
        <v>2734</v>
      </c>
      <c r="C3922" s="102" t="s">
        <v>1021</v>
      </c>
    </row>
    <row r="3923" spans="1:3" ht="15">
      <c r="A3923" s="90" t="s">
        <v>267</v>
      </c>
      <c r="B3923" s="89" t="s">
        <v>4204</v>
      </c>
      <c r="C3923" s="102" t="s">
        <v>1021</v>
      </c>
    </row>
    <row r="3924" spans="1:3" ht="15">
      <c r="A3924" s="90" t="s">
        <v>266</v>
      </c>
      <c r="B3924" s="89" t="s">
        <v>4205</v>
      </c>
      <c r="C3924" s="102" t="s">
        <v>1020</v>
      </c>
    </row>
    <row r="3925" spans="1:3" ht="15">
      <c r="A3925" s="90" t="s">
        <v>266</v>
      </c>
      <c r="B3925" s="89" t="s">
        <v>422</v>
      </c>
      <c r="C3925" s="102" t="s">
        <v>1020</v>
      </c>
    </row>
    <row r="3926" spans="1:3" ht="15">
      <c r="A3926" s="90" t="s">
        <v>266</v>
      </c>
      <c r="B3926" s="89" t="s">
        <v>4206</v>
      </c>
      <c r="C3926" s="102" t="s">
        <v>1020</v>
      </c>
    </row>
    <row r="3927" spans="1:3" ht="15">
      <c r="A3927" s="90" t="s">
        <v>266</v>
      </c>
      <c r="B3927" s="89" t="s">
        <v>3204</v>
      </c>
      <c r="C3927" s="102" t="s">
        <v>1020</v>
      </c>
    </row>
    <row r="3928" spans="1:3" ht="15">
      <c r="A3928" s="90" t="s">
        <v>266</v>
      </c>
      <c r="B3928" s="89" t="s">
        <v>4207</v>
      </c>
      <c r="C3928" s="102" t="s">
        <v>1020</v>
      </c>
    </row>
    <row r="3929" spans="1:3" ht="15">
      <c r="A3929" s="90" t="s">
        <v>266</v>
      </c>
      <c r="B3929" s="89" t="s">
        <v>2732</v>
      </c>
      <c r="C3929" s="102" t="s">
        <v>1020</v>
      </c>
    </row>
    <row r="3930" spans="1:3" ht="15">
      <c r="A3930" s="90" t="s">
        <v>266</v>
      </c>
      <c r="B3930" s="89" t="s">
        <v>4208</v>
      </c>
      <c r="C3930" s="102" t="s">
        <v>1020</v>
      </c>
    </row>
    <row r="3931" spans="1:3" ht="15">
      <c r="A3931" s="90" t="s">
        <v>266</v>
      </c>
      <c r="B3931" s="89" t="s">
        <v>4209</v>
      </c>
      <c r="C3931" s="102" t="s">
        <v>1020</v>
      </c>
    </row>
    <row r="3932" spans="1:3" ht="15">
      <c r="A3932" s="90" t="s">
        <v>266</v>
      </c>
      <c r="B3932" s="89" t="s">
        <v>3192</v>
      </c>
      <c r="C3932" s="102" t="s">
        <v>1020</v>
      </c>
    </row>
    <row r="3933" spans="1:3" ht="15">
      <c r="A3933" s="90" t="s">
        <v>266</v>
      </c>
      <c r="B3933" s="89" t="s">
        <v>4210</v>
      </c>
      <c r="C3933" s="102" t="s">
        <v>1020</v>
      </c>
    </row>
    <row r="3934" spans="1:3" ht="15">
      <c r="A3934" s="90" t="s">
        <v>266</v>
      </c>
      <c r="B3934" s="89" t="s">
        <v>4211</v>
      </c>
      <c r="C3934" s="102" t="s">
        <v>1020</v>
      </c>
    </row>
    <row r="3935" spans="1:3" ht="15">
      <c r="A3935" s="90" t="s">
        <v>266</v>
      </c>
      <c r="B3935" s="89" t="s">
        <v>4212</v>
      </c>
      <c r="C3935" s="102" t="s">
        <v>1020</v>
      </c>
    </row>
    <row r="3936" spans="1:3" ht="15">
      <c r="A3936" s="90" t="s">
        <v>266</v>
      </c>
      <c r="B3936" s="89" t="s">
        <v>4213</v>
      </c>
      <c r="C3936" s="102" t="s">
        <v>1020</v>
      </c>
    </row>
    <row r="3937" spans="1:3" ht="15">
      <c r="A3937" s="90" t="s">
        <v>265</v>
      </c>
      <c r="B3937" s="89" t="s">
        <v>4205</v>
      </c>
      <c r="C3937" s="102" t="s">
        <v>1018</v>
      </c>
    </row>
    <row r="3938" spans="1:3" ht="15">
      <c r="A3938" s="90" t="s">
        <v>265</v>
      </c>
      <c r="B3938" s="89" t="s">
        <v>422</v>
      </c>
      <c r="C3938" s="102" t="s">
        <v>1018</v>
      </c>
    </row>
    <row r="3939" spans="1:3" ht="15">
      <c r="A3939" s="90" t="s">
        <v>265</v>
      </c>
      <c r="B3939" s="89" t="s">
        <v>419</v>
      </c>
      <c r="C3939" s="102" t="s">
        <v>1018</v>
      </c>
    </row>
    <row r="3940" spans="1:3" ht="15">
      <c r="A3940" s="90" t="s">
        <v>265</v>
      </c>
      <c r="B3940" s="89" t="s">
        <v>4206</v>
      </c>
      <c r="C3940" s="102" t="s">
        <v>1018</v>
      </c>
    </row>
    <row r="3941" spans="1:3" ht="15">
      <c r="A3941" s="90" t="s">
        <v>265</v>
      </c>
      <c r="B3941" s="89" t="s">
        <v>3204</v>
      </c>
      <c r="C3941" s="102" t="s">
        <v>1018</v>
      </c>
    </row>
    <row r="3942" spans="1:3" ht="15">
      <c r="A3942" s="90" t="s">
        <v>265</v>
      </c>
      <c r="B3942" s="89" t="s">
        <v>2911</v>
      </c>
      <c r="C3942" s="102" t="s">
        <v>1018</v>
      </c>
    </row>
    <row r="3943" spans="1:3" ht="15">
      <c r="A3943" s="90" t="s">
        <v>265</v>
      </c>
      <c r="B3943" s="89" t="s">
        <v>2713</v>
      </c>
      <c r="C3943" s="102" t="s">
        <v>1018</v>
      </c>
    </row>
    <row r="3944" spans="1:3" ht="15">
      <c r="A3944" s="90" t="s">
        <v>265</v>
      </c>
      <c r="B3944" s="89" t="s">
        <v>2685</v>
      </c>
      <c r="C3944" s="102" t="s">
        <v>1018</v>
      </c>
    </row>
    <row r="3945" spans="1:3" ht="15">
      <c r="A3945" s="90" t="s">
        <v>265</v>
      </c>
      <c r="B3945" s="89" t="s">
        <v>2807</v>
      </c>
      <c r="C3945" s="102" t="s">
        <v>1018</v>
      </c>
    </row>
    <row r="3946" spans="1:3" ht="15">
      <c r="A3946" s="90" t="s">
        <v>265</v>
      </c>
      <c r="B3946" s="89" t="s">
        <v>3047</v>
      </c>
      <c r="C3946" s="102" t="s">
        <v>1018</v>
      </c>
    </row>
    <row r="3947" spans="1:3" ht="15">
      <c r="A3947" s="90" t="s">
        <v>265</v>
      </c>
      <c r="B3947" s="89" t="s">
        <v>4214</v>
      </c>
      <c r="C3947" s="102" t="s">
        <v>1018</v>
      </c>
    </row>
    <row r="3948" spans="1:3" ht="15">
      <c r="A3948" s="90" t="s">
        <v>265</v>
      </c>
      <c r="B3948" s="89">
        <v>3</v>
      </c>
      <c r="C3948" s="102" t="s">
        <v>1018</v>
      </c>
    </row>
    <row r="3949" spans="1:3" ht="15">
      <c r="A3949" s="90" t="s">
        <v>265</v>
      </c>
      <c r="B3949" s="89" t="s">
        <v>422</v>
      </c>
      <c r="C3949" s="102" t="s">
        <v>1019</v>
      </c>
    </row>
    <row r="3950" spans="1:3" ht="15">
      <c r="A3950" s="90" t="s">
        <v>265</v>
      </c>
      <c r="B3950" s="89" t="s">
        <v>4205</v>
      </c>
      <c r="C3950" s="102" t="s">
        <v>1019</v>
      </c>
    </row>
    <row r="3951" spans="1:3" ht="15">
      <c r="A3951" s="90" t="s">
        <v>265</v>
      </c>
      <c r="B3951" s="89" t="s">
        <v>4206</v>
      </c>
      <c r="C3951" s="102" t="s">
        <v>1019</v>
      </c>
    </row>
    <row r="3952" spans="1:3" ht="15">
      <c r="A3952" s="90" t="s">
        <v>265</v>
      </c>
      <c r="B3952" s="89" t="s">
        <v>3325</v>
      </c>
      <c r="C3952" s="102" t="s">
        <v>1019</v>
      </c>
    </row>
    <row r="3953" spans="1:3" ht="15">
      <c r="A3953" s="90" t="s">
        <v>265</v>
      </c>
      <c r="B3953" s="89" t="s">
        <v>2706</v>
      </c>
      <c r="C3953" s="102" t="s">
        <v>1019</v>
      </c>
    </row>
    <row r="3954" spans="1:3" ht="15">
      <c r="A3954" s="90" t="s">
        <v>265</v>
      </c>
      <c r="B3954" s="89" t="s">
        <v>4215</v>
      </c>
      <c r="C3954" s="102" t="s">
        <v>1019</v>
      </c>
    </row>
    <row r="3955" spans="1:3" ht="15">
      <c r="A3955" s="90" t="s">
        <v>265</v>
      </c>
      <c r="B3955" s="89" t="s">
        <v>4216</v>
      </c>
      <c r="C3955" s="102" t="s">
        <v>1019</v>
      </c>
    </row>
    <row r="3956" spans="1:3" ht="15">
      <c r="A3956" s="90" t="s">
        <v>265</v>
      </c>
      <c r="B3956" s="89" t="s">
        <v>3137</v>
      </c>
      <c r="C3956" s="102" t="s">
        <v>1019</v>
      </c>
    </row>
    <row r="3957" spans="1:3" ht="15">
      <c r="A3957" s="90" t="s">
        <v>265</v>
      </c>
      <c r="B3957" s="89" t="s">
        <v>4217</v>
      </c>
      <c r="C3957" s="102" t="s">
        <v>1019</v>
      </c>
    </row>
    <row r="3958" spans="1:3" ht="15">
      <c r="A3958" s="90" t="s">
        <v>265</v>
      </c>
      <c r="B3958" s="89" t="s">
        <v>3239</v>
      </c>
      <c r="C3958" s="102" t="s">
        <v>1019</v>
      </c>
    </row>
    <row r="3959" spans="1:3" ht="15">
      <c r="A3959" s="90" t="s">
        <v>265</v>
      </c>
      <c r="B3959" s="89" t="s">
        <v>3767</v>
      </c>
      <c r="C3959" s="102" t="s">
        <v>1019</v>
      </c>
    </row>
    <row r="3960" spans="1:3" ht="15">
      <c r="A3960" s="90" t="s">
        <v>265</v>
      </c>
      <c r="B3960" s="89">
        <v>70</v>
      </c>
      <c r="C3960" s="102" t="s">
        <v>1019</v>
      </c>
    </row>
    <row r="3961" spans="1:3" ht="15">
      <c r="A3961" s="90" t="s">
        <v>265</v>
      </c>
      <c r="B3961" s="89" t="s">
        <v>4218</v>
      </c>
      <c r="C3961" s="102" t="s">
        <v>1019</v>
      </c>
    </row>
    <row r="3962" spans="1:3" ht="15">
      <c r="A3962" s="90" t="s">
        <v>265</v>
      </c>
      <c r="B3962" s="89" t="s">
        <v>4219</v>
      </c>
      <c r="C3962" s="102" t="s">
        <v>1019</v>
      </c>
    </row>
    <row r="3963" spans="1:3" ht="15">
      <c r="A3963" s="90" t="s">
        <v>265</v>
      </c>
      <c r="B3963" s="89" t="s">
        <v>3719</v>
      </c>
      <c r="C3963" s="102" t="s">
        <v>1019</v>
      </c>
    </row>
    <row r="3964" spans="1:3" ht="15">
      <c r="A3964" s="90" t="s">
        <v>265</v>
      </c>
      <c r="B3964" s="89" t="s">
        <v>3048</v>
      </c>
      <c r="C3964" s="102" t="s">
        <v>1019</v>
      </c>
    </row>
    <row r="3965" spans="1:3" ht="15">
      <c r="A3965" s="90" t="s">
        <v>265</v>
      </c>
      <c r="B3965" s="89" t="s">
        <v>4220</v>
      </c>
      <c r="C3965" s="102" t="s">
        <v>1019</v>
      </c>
    </row>
    <row r="3966" spans="1:3" ht="15">
      <c r="A3966" s="90" t="s">
        <v>265</v>
      </c>
      <c r="B3966" s="89" t="s">
        <v>4221</v>
      </c>
      <c r="C3966" s="102" t="s">
        <v>1019</v>
      </c>
    </row>
    <row r="3967" spans="1:3" ht="15">
      <c r="A3967" s="90" t="s">
        <v>265</v>
      </c>
      <c r="B3967" s="89" t="s">
        <v>4222</v>
      </c>
      <c r="C3967" s="102" t="s">
        <v>1019</v>
      </c>
    </row>
    <row r="3968" spans="1:3" ht="15">
      <c r="A3968" s="90" t="s">
        <v>265</v>
      </c>
      <c r="B3968" s="89" t="s">
        <v>4223</v>
      </c>
      <c r="C3968" s="102" t="s">
        <v>1019</v>
      </c>
    </row>
    <row r="3969" spans="1:3" ht="15">
      <c r="A3969" s="90" t="s">
        <v>265</v>
      </c>
      <c r="B3969" s="89" t="s">
        <v>4224</v>
      </c>
      <c r="C3969" s="102" t="s">
        <v>1019</v>
      </c>
    </row>
    <row r="3970" spans="1:3" ht="15">
      <c r="A3970" s="90" t="s">
        <v>265</v>
      </c>
      <c r="B3970" s="89" t="s">
        <v>4225</v>
      </c>
      <c r="C3970" s="102" t="s">
        <v>1019</v>
      </c>
    </row>
    <row r="3971" spans="1:3" ht="15">
      <c r="A3971" s="90" t="s">
        <v>265</v>
      </c>
      <c r="B3971" s="89" t="s">
        <v>3141</v>
      </c>
      <c r="C3971" s="102" t="s">
        <v>1019</v>
      </c>
    </row>
    <row r="3972" spans="1:3" ht="15">
      <c r="A3972" s="90" t="s">
        <v>265</v>
      </c>
      <c r="B3972" s="89" t="s">
        <v>4226</v>
      </c>
      <c r="C3972" s="102" t="s">
        <v>1019</v>
      </c>
    </row>
    <row r="3973" spans="1:3" ht="15">
      <c r="A3973" s="90" t="s">
        <v>265</v>
      </c>
      <c r="B3973" s="89" t="s">
        <v>4227</v>
      </c>
      <c r="C3973" s="102" t="s">
        <v>1019</v>
      </c>
    </row>
    <row r="3974" spans="1:3" ht="15">
      <c r="A3974" s="90" t="s">
        <v>265</v>
      </c>
      <c r="B3974" s="89" t="s">
        <v>2912</v>
      </c>
      <c r="C3974" s="102" t="s">
        <v>1019</v>
      </c>
    </row>
    <row r="3975" spans="1:3" ht="15">
      <c r="A3975" s="90" t="s">
        <v>265</v>
      </c>
      <c r="B3975" s="89" t="s">
        <v>2765</v>
      </c>
      <c r="C3975" s="102" t="s">
        <v>1019</v>
      </c>
    </row>
    <row r="3976" spans="1:3" ht="15">
      <c r="A3976" s="90" t="s">
        <v>265</v>
      </c>
      <c r="B3976" s="89" t="s">
        <v>712</v>
      </c>
      <c r="C3976" s="102" t="s">
        <v>1019</v>
      </c>
    </row>
    <row r="3977" spans="1:3" ht="15">
      <c r="A3977" s="90" t="s">
        <v>265</v>
      </c>
      <c r="B3977" s="89" t="s">
        <v>4228</v>
      </c>
      <c r="C3977" s="102" t="s">
        <v>1019</v>
      </c>
    </row>
    <row r="3978" spans="1:3" ht="15">
      <c r="A3978" s="90" t="s">
        <v>265</v>
      </c>
      <c r="B3978" s="89" t="s">
        <v>2732</v>
      </c>
      <c r="C3978" s="102" t="s">
        <v>1019</v>
      </c>
    </row>
    <row r="3979" spans="1:3" ht="15">
      <c r="A3979" s="90" t="s">
        <v>265</v>
      </c>
      <c r="B3979" s="89" t="s">
        <v>3299</v>
      </c>
      <c r="C3979" s="102" t="s">
        <v>1019</v>
      </c>
    </row>
    <row r="3980" spans="1:3" ht="15">
      <c r="A3980" s="90" t="s">
        <v>265</v>
      </c>
      <c r="B3980" s="89" t="s">
        <v>4229</v>
      </c>
      <c r="C3980" s="102" t="s">
        <v>1019</v>
      </c>
    </row>
    <row r="3981" spans="1:3" ht="15">
      <c r="A3981" s="90" t="s">
        <v>265</v>
      </c>
      <c r="B3981" s="89" t="s">
        <v>4230</v>
      </c>
      <c r="C3981" s="102" t="s">
        <v>1019</v>
      </c>
    </row>
    <row r="3982" spans="1:3" ht="15">
      <c r="A3982" s="90" t="s">
        <v>265</v>
      </c>
      <c r="B3982" s="89" t="s">
        <v>4231</v>
      </c>
      <c r="C3982" s="102" t="s">
        <v>1019</v>
      </c>
    </row>
    <row r="3983" spans="1:3" ht="15">
      <c r="A3983" s="90" t="s">
        <v>267</v>
      </c>
      <c r="B3983" s="89" t="s">
        <v>4206</v>
      </c>
      <c r="C3983" s="102" t="s">
        <v>1022</v>
      </c>
    </row>
    <row r="3984" spans="1:3" ht="15">
      <c r="A3984" s="90" t="s">
        <v>267</v>
      </c>
      <c r="B3984" s="89" t="s">
        <v>4232</v>
      </c>
      <c r="C3984" s="102" t="s">
        <v>1022</v>
      </c>
    </row>
    <row r="3985" spans="1:3" ht="15">
      <c r="A3985" s="90" t="s">
        <v>267</v>
      </c>
      <c r="B3985" s="89" t="s">
        <v>3475</v>
      </c>
      <c r="C3985" s="102" t="s">
        <v>1022</v>
      </c>
    </row>
    <row r="3986" spans="1:3" ht="15">
      <c r="A3986" s="90" t="s">
        <v>267</v>
      </c>
      <c r="B3986" s="89" t="s">
        <v>3368</v>
      </c>
      <c r="C3986" s="102" t="s">
        <v>1022</v>
      </c>
    </row>
    <row r="3987" spans="1:3" ht="15">
      <c r="A3987" s="90" t="s">
        <v>267</v>
      </c>
      <c r="B3987" s="89" t="s">
        <v>3490</v>
      </c>
      <c r="C3987" s="102" t="s">
        <v>1022</v>
      </c>
    </row>
    <row r="3988" spans="1:3" ht="15">
      <c r="A3988" s="90" t="s">
        <v>267</v>
      </c>
      <c r="B3988" s="89" t="s">
        <v>3007</v>
      </c>
      <c r="C3988" s="102" t="s">
        <v>1022</v>
      </c>
    </row>
    <row r="3989" spans="1:3" ht="15">
      <c r="A3989" s="90" t="s">
        <v>267</v>
      </c>
      <c r="B3989" s="89" t="s">
        <v>3502</v>
      </c>
      <c r="C3989" s="102" t="s">
        <v>1022</v>
      </c>
    </row>
    <row r="3990" spans="1:3" ht="15">
      <c r="A3990" s="90" t="s">
        <v>267</v>
      </c>
      <c r="B3990" s="89" t="s">
        <v>4233</v>
      </c>
      <c r="C3990" s="102" t="s">
        <v>1022</v>
      </c>
    </row>
    <row r="3991" spans="1:3" ht="15">
      <c r="A3991" s="90" t="s">
        <v>267</v>
      </c>
      <c r="B3991" s="89" t="s">
        <v>3180</v>
      </c>
      <c r="C3991" s="102" t="s">
        <v>1022</v>
      </c>
    </row>
    <row r="3992" spans="1:3" ht="15">
      <c r="A3992" s="90" t="s">
        <v>267</v>
      </c>
      <c r="B3992" s="89" t="s">
        <v>3169</v>
      </c>
      <c r="C3992" s="102" t="s">
        <v>1022</v>
      </c>
    </row>
    <row r="3993" spans="1:3" ht="15">
      <c r="A3993" s="90" t="s">
        <v>267</v>
      </c>
      <c r="B3993" s="89" t="s">
        <v>3302</v>
      </c>
      <c r="C3993" s="102" t="s">
        <v>1022</v>
      </c>
    </row>
    <row r="3994" spans="1:3" ht="15">
      <c r="A3994" s="90" t="s">
        <v>267</v>
      </c>
      <c r="B3994" s="89" t="s">
        <v>3239</v>
      </c>
      <c r="C3994" s="102" t="s">
        <v>1022</v>
      </c>
    </row>
    <row r="3995" spans="1:3" ht="15">
      <c r="A3995" s="90" t="s">
        <v>267</v>
      </c>
      <c r="B3995" s="89" t="s">
        <v>2933</v>
      </c>
      <c r="C3995" s="102" t="s">
        <v>1022</v>
      </c>
    </row>
    <row r="3996" spans="1:3" ht="15">
      <c r="A3996" s="90" t="s">
        <v>267</v>
      </c>
      <c r="B3996" s="89" t="s">
        <v>4234</v>
      </c>
      <c r="C3996" s="102" t="s">
        <v>1022</v>
      </c>
    </row>
    <row r="3997" spans="1:3" ht="15">
      <c r="A3997" s="90" t="s">
        <v>267</v>
      </c>
      <c r="B3997" s="89" t="s">
        <v>2661</v>
      </c>
      <c r="C3997" s="102" t="s">
        <v>1022</v>
      </c>
    </row>
    <row r="3998" spans="1:3" ht="15">
      <c r="A3998" s="90" t="s">
        <v>267</v>
      </c>
      <c r="B3998" s="89" t="s">
        <v>4235</v>
      </c>
      <c r="C3998" s="102" t="s">
        <v>1022</v>
      </c>
    </row>
    <row r="3999" spans="1:3" ht="15">
      <c r="A3999" s="90" t="s">
        <v>267</v>
      </c>
      <c r="B3999" s="89" t="s">
        <v>4236</v>
      </c>
      <c r="C3999" s="102" t="s">
        <v>1022</v>
      </c>
    </row>
    <row r="4000" spans="1:3" ht="15">
      <c r="A4000" s="90" t="s">
        <v>267</v>
      </c>
      <c r="B4000" s="89" t="s">
        <v>2741</v>
      </c>
      <c r="C4000" s="102" t="s">
        <v>1022</v>
      </c>
    </row>
    <row r="4001" spans="1:3" ht="15">
      <c r="A4001" s="90" t="s">
        <v>267</v>
      </c>
      <c r="B4001" s="89" t="s">
        <v>4237</v>
      </c>
      <c r="C4001" s="102" t="s">
        <v>1022</v>
      </c>
    </row>
    <row r="4002" spans="1:3" ht="15">
      <c r="A4002" s="90" t="s">
        <v>267</v>
      </c>
      <c r="B4002" s="89" t="s">
        <v>4238</v>
      </c>
      <c r="C4002" s="102" t="s">
        <v>1022</v>
      </c>
    </row>
    <row r="4003" spans="1:3" ht="15">
      <c r="A4003" s="90" t="s">
        <v>267</v>
      </c>
      <c r="B4003" s="89" t="s">
        <v>4239</v>
      </c>
      <c r="C4003" s="102" t="s">
        <v>1022</v>
      </c>
    </row>
    <row r="4004" spans="1:3" ht="15">
      <c r="A4004" s="90" t="s">
        <v>267</v>
      </c>
      <c r="B4004" s="89" t="s">
        <v>4240</v>
      </c>
      <c r="C4004" s="102" t="s">
        <v>1022</v>
      </c>
    </row>
    <row r="4005" spans="1:3" ht="15">
      <c r="A4005" s="90" t="s">
        <v>267</v>
      </c>
      <c r="B4005" s="89" t="s">
        <v>4241</v>
      </c>
      <c r="C4005" s="102" t="s">
        <v>1022</v>
      </c>
    </row>
    <row r="4006" spans="1:3" ht="15">
      <c r="A4006" s="90" t="s">
        <v>267</v>
      </c>
      <c r="B4006" s="89" t="s">
        <v>4242</v>
      </c>
      <c r="C4006" s="102" t="s">
        <v>1022</v>
      </c>
    </row>
    <row r="4007" spans="1:3" ht="15">
      <c r="A4007" s="90" t="s">
        <v>267</v>
      </c>
      <c r="B4007" s="89" t="s">
        <v>4243</v>
      </c>
      <c r="C4007" s="102" t="s">
        <v>1022</v>
      </c>
    </row>
    <row r="4008" spans="1:3" ht="15">
      <c r="A4008" s="90" t="s">
        <v>267</v>
      </c>
      <c r="B4008" s="89" t="s">
        <v>4244</v>
      </c>
      <c r="C4008" s="102" t="s">
        <v>1022</v>
      </c>
    </row>
    <row r="4009" spans="1:3" ht="15">
      <c r="A4009" s="90" t="s">
        <v>267</v>
      </c>
      <c r="B4009" s="89" t="s">
        <v>4245</v>
      </c>
      <c r="C4009" s="102" t="s">
        <v>1022</v>
      </c>
    </row>
    <row r="4010" spans="1:3" ht="15">
      <c r="A4010" s="90" t="s">
        <v>267</v>
      </c>
      <c r="B4010" s="89" t="s">
        <v>4246</v>
      </c>
      <c r="C4010" s="102" t="s">
        <v>1022</v>
      </c>
    </row>
    <row r="4011" spans="1:3" ht="15">
      <c r="A4011" s="90" t="s">
        <v>307</v>
      </c>
      <c r="B4011" s="89" t="s">
        <v>3204</v>
      </c>
      <c r="C4011" s="102" t="s">
        <v>1096</v>
      </c>
    </row>
    <row r="4012" spans="1:3" ht="15">
      <c r="A4012" s="90" t="s">
        <v>307</v>
      </c>
      <c r="B4012" s="89" t="s">
        <v>2713</v>
      </c>
      <c r="C4012" s="102" t="s">
        <v>1096</v>
      </c>
    </row>
    <row r="4013" spans="1:3" ht="15">
      <c r="A4013" s="90" t="s">
        <v>307</v>
      </c>
      <c r="B4013" s="89" t="s">
        <v>4247</v>
      </c>
      <c r="C4013" s="102" t="s">
        <v>1096</v>
      </c>
    </row>
    <row r="4014" spans="1:3" ht="15">
      <c r="A4014" s="90" t="s">
        <v>307</v>
      </c>
      <c r="B4014" s="89" t="s">
        <v>4248</v>
      </c>
      <c r="C4014" s="102" t="s">
        <v>1096</v>
      </c>
    </row>
    <row r="4015" spans="1:3" ht="15">
      <c r="A4015" s="90" t="s">
        <v>307</v>
      </c>
      <c r="B4015" s="89" t="s">
        <v>2739</v>
      </c>
      <c r="C4015" s="102" t="s">
        <v>1096</v>
      </c>
    </row>
    <row r="4016" spans="1:3" ht="15">
      <c r="A4016" s="90" t="s">
        <v>307</v>
      </c>
      <c r="B4016" s="89" t="s">
        <v>3385</v>
      </c>
      <c r="C4016" s="102" t="s">
        <v>1096</v>
      </c>
    </row>
    <row r="4017" spans="1:3" ht="15">
      <c r="A4017" s="90" t="s">
        <v>307</v>
      </c>
      <c r="B4017" s="89" t="s">
        <v>4249</v>
      </c>
      <c r="C4017" s="102" t="s">
        <v>1096</v>
      </c>
    </row>
    <row r="4018" spans="1:3" ht="15">
      <c r="A4018" s="90" t="s">
        <v>307</v>
      </c>
      <c r="B4018" s="89" t="s">
        <v>2808</v>
      </c>
      <c r="C4018" s="102" t="s">
        <v>1096</v>
      </c>
    </row>
    <row r="4019" spans="1:3" ht="15">
      <c r="A4019" s="90" t="s">
        <v>307</v>
      </c>
      <c r="B4019" s="89" t="s">
        <v>4250</v>
      </c>
      <c r="C4019" s="102" t="s">
        <v>1096</v>
      </c>
    </row>
    <row r="4020" spans="1:3" ht="15">
      <c r="A4020" s="90" t="s">
        <v>307</v>
      </c>
      <c r="B4020" s="89" t="s">
        <v>4251</v>
      </c>
      <c r="C4020" s="102" t="s">
        <v>1096</v>
      </c>
    </row>
    <row r="4021" spans="1:3" ht="15">
      <c r="A4021" s="90" t="s">
        <v>307</v>
      </c>
      <c r="B4021" s="89" t="s">
        <v>4252</v>
      </c>
      <c r="C4021" s="102" t="s">
        <v>1096</v>
      </c>
    </row>
    <row r="4022" spans="1:3" ht="15">
      <c r="A4022" s="90" t="s">
        <v>307</v>
      </c>
      <c r="B4022" s="89" t="s">
        <v>3502</v>
      </c>
      <c r="C4022" s="102" t="s">
        <v>1096</v>
      </c>
    </row>
    <row r="4023" spans="1:3" ht="15">
      <c r="A4023" s="90" t="s">
        <v>307</v>
      </c>
      <c r="B4023" s="89" t="s">
        <v>4253</v>
      </c>
      <c r="C4023" s="102" t="s">
        <v>1096</v>
      </c>
    </row>
    <row r="4024" spans="1:3" ht="15">
      <c r="A4024" s="90" t="s">
        <v>307</v>
      </c>
      <c r="B4024" s="89" t="s">
        <v>3978</v>
      </c>
      <c r="C4024" s="102" t="s">
        <v>1096</v>
      </c>
    </row>
    <row r="4025" spans="1:3" ht="15">
      <c r="A4025" s="90" t="s">
        <v>307</v>
      </c>
      <c r="B4025" s="89" t="s">
        <v>4254</v>
      </c>
      <c r="C4025" s="102" t="s">
        <v>1096</v>
      </c>
    </row>
    <row r="4026" spans="1:3" ht="15">
      <c r="A4026" s="90" t="s">
        <v>307</v>
      </c>
      <c r="B4026" s="89" t="s">
        <v>4255</v>
      </c>
      <c r="C4026" s="102" t="s">
        <v>1096</v>
      </c>
    </row>
    <row r="4027" spans="1:3" ht="15">
      <c r="A4027" s="90" t="s">
        <v>307</v>
      </c>
      <c r="B4027" s="89" t="s">
        <v>3297</v>
      </c>
      <c r="C4027" s="102" t="s">
        <v>1096</v>
      </c>
    </row>
    <row r="4028" spans="1:3" ht="15">
      <c r="A4028" s="90" t="s">
        <v>307</v>
      </c>
      <c r="B4028" s="89" t="s">
        <v>2716</v>
      </c>
      <c r="C4028" s="102" t="s">
        <v>1096</v>
      </c>
    </row>
    <row r="4029" spans="1:3" ht="15">
      <c r="A4029" s="90" t="s">
        <v>265</v>
      </c>
      <c r="B4029" s="89" t="s">
        <v>414</v>
      </c>
      <c r="C4029" s="102" t="s">
        <v>1016</v>
      </c>
    </row>
    <row r="4030" spans="1:3" ht="15">
      <c r="A4030" s="90" t="s">
        <v>265</v>
      </c>
      <c r="B4030" s="89" t="s">
        <v>4256</v>
      </c>
      <c r="C4030" s="102" t="s">
        <v>1016</v>
      </c>
    </row>
    <row r="4031" spans="1:3" ht="15">
      <c r="A4031" s="90" t="s">
        <v>265</v>
      </c>
      <c r="B4031" s="89" t="s">
        <v>4257</v>
      </c>
      <c r="C4031" s="102" t="s">
        <v>1016</v>
      </c>
    </row>
    <row r="4032" spans="1:3" ht="15">
      <c r="A4032" s="90" t="s">
        <v>265</v>
      </c>
      <c r="B4032" s="89" t="s">
        <v>4258</v>
      </c>
      <c r="C4032" s="102" t="s">
        <v>1016</v>
      </c>
    </row>
    <row r="4033" spans="1:3" ht="15">
      <c r="A4033" s="90" t="s">
        <v>265</v>
      </c>
      <c r="B4033" s="89" t="s">
        <v>3050</v>
      </c>
      <c r="C4033" s="102" t="s">
        <v>1016</v>
      </c>
    </row>
    <row r="4034" spans="1:3" ht="15">
      <c r="A4034" s="90" t="s">
        <v>265</v>
      </c>
      <c r="B4034" s="89" t="s">
        <v>4259</v>
      </c>
      <c r="C4034" s="102" t="s">
        <v>1016</v>
      </c>
    </row>
    <row r="4035" spans="1:3" ht="15">
      <c r="A4035" s="90" t="s">
        <v>265</v>
      </c>
      <c r="B4035" s="89" t="s">
        <v>4260</v>
      </c>
      <c r="C4035" s="102" t="s">
        <v>1016</v>
      </c>
    </row>
    <row r="4036" spans="1:3" ht="15">
      <c r="A4036" s="90" t="s">
        <v>265</v>
      </c>
      <c r="B4036" s="89" t="s">
        <v>3159</v>
      </c>
      <c r="C4036" s="102" t="s">
        <v>1016</v>
      </c>
    </row>
    <row r="4037" spans="1:3" ht="15">
      <c r="A4037" s="90" t="s">
        <v>265</v>
      </c>
      <c r="B4037" s="89" t="s">
        <v>3261</v>
      </c>
      <c r="C4037" s="102" t="s">
        <v>1016</v>
      </c>
    </row>
    <row r="4038" spans="1:3" ht="15">
      <c r="A4038" s="90" t="s">
        <v>265</v>
      </c>
      <c r="B4038" s="89" t="s">
        <v>3784</v>
      </c>
      <c r="C4038" s="102" t="s">
        <v>1016</v>
      </c>
    </row>
    <row r="4039" spans="1:3" ht="15">
      <c r="A4039" s="90" t="s">
        <v>265</v>
      </c>
      <c r="B4039" s="89" t="s">
        <v>2708</v>
      </c>
      <c r="C4039" s="102" t="s">
        <v>1016</v>
      </c>
    </row>
    <row r="4040" spans="1:3" ht="15">
      <c r="A4040" s="90" t="s">
        <v>265</v>
      </c>
      <c r="B4040" s="89" t="s">
        <v>4215</v>
      </c>
      <c r="C4040" s="102" t="s">
        <v>1016</v>
      </c>
    </row>
    <row r="4041" spans="1:3" ht="15">
      <c r="A4041" s="90" t="s">
        <v>265</v>
      </c>
      <c r="B4041" s="89" t="s">
        <v>3049</v>
      </c>
      <c r="C4041" s="102" t="s">
        <v>1016</v>
      </c>
    </row>
    <row r="4042" spans="1:3" ht="15">
      <c r="A4042" s="90" t="s">
        <v>265</v>
      </c>
      <c r="B4042" s="89" t="s">
        <v>3570</v>
      </c>
      <c r="C4042" s="102" t="s">
        <v>1016</v>
      </c>
    </row>
    <row r="4043" spans="1:3" ht="15">
      <c r="A4043" s="90" t="s">
        <v>265</v>
      </c>
      <c r="B4043" s="89" t="s">
        <v>3155</v>
      </c>
      <c r="C4043" s="102" t="s">
        <v>1016</v>
      </c>
    </row>
    <row r="4044" spans="1:3" ht="15">
      <c r="A4044" s="90" t="s">
        <v>265</v>
      </c>
      <c r="B4044" s="89" t="s">
        <v>3021</v>
      </c>
      <c r="C4044" s="102" t="s">
        <v>1016</v>
      </c>
    </row>
    <row r="4045" spans="1:3" ht="15">
      <c r="A4045" s="90" t="s">
        <v>265</v>
      </c>
      <c r="B4045" s="89" t="s">
        <v>3022</v>
      </c>
      <c r="C4045" s="102" t="s">
        <v>1016</v>
      </c>
    </row>
    <row r="4046" spans="1:3" ht="15">
      <c r="A4046" s="90" t="s">
        <v>265</v>
      </c>
      <c r="B4046" s="89" t="s">
        <v>3003</v>
      </c>
      <c r="C4046" s="102" t="s">
        <v>1016</v>
      </c>
    </row>
    <row r="4047" spans="1:3" ht="15">
      <c r="A4047" s="90" t="s">
        <v>265</v>
      </c>
      <c r="B4047" s="89" t="s">
        <v>4261</v>
      </c>
      <c r="C4047" s="102" t="s">
        <v>1016</v>
      </c>
    </row>
    <row r="4048" spans="1:3" ht="15">
      <c r="A4048" s="90" t="s">
        <v>265</v>
      </c>
      <c r="B4048" s="89" t="s">
        <v>4262</v>
      </c>
      <c r="C4048" s="102" t="s">
        <v>1016</v>
      </c>
    </row>
    <row r="4049" spans="1:3" ht="15">
      <c r="A4049" s="90" t="s">
        <v>265</v>
      </c>
      <c r="B4049" s="89" t="s">
        <v>4263</v>
      </c>
      <c r="C4049" s="102" t="s">
        <v>1016</v>
      </c>
    </row>
    <row r="4050" spans="1:3" ht="15">
      <c r="A4050" s="90" t="s">
        <v>265</v>
      </c>
      <c r="B4050" s="89" t="s">
        <v>4264</v>
      </c>
      <c r="C4050" s="102" t="s">
        <v>1016</v>
      </c>
    </row>
    <row r="4051" spans="1:3" ht="15">
      <c r="A4051" s="90" t="s">
        <v>265</v>
      </c>
      <c r="B4051" s="89" t="s">
        <v>4265</v>
      </c>
      <c r="C4051" s="102" t="s">
        <v>1016</v>
      </c>
    </row>
    <row r="4052" spans="1:3" ht="15">
      <c r="A4052" s="90" t="s">
        <v>265</v>
      </c>
      <c r="B4052" s="89" t="s">
        <v>4266</v>
      </c>
      <c r="C4052" s="102" t="s">
        <v>1016</v>
      </c>
    </row>
    <row r="4053" spans="1:3" ht="15">
      <c r="A4053" s="90" t="s">
        <v>265</v>
      </c>
      <c r="B4053" s="89" t="s">
        <v>4267</v>
      </c>
      <c r="C4053" s="102" t="s">
        <v>1016</v>
      </c>
    </row>
    <row r="4054" spans="1:3" ht="15">
      <c r="A4054" s="90" t="s">
        <v>265</v>
      </c>
      <c r="B4054" s="89" t="s">
        <v>712</v>
      </c>
      <c r="C4054" s="102" t="s">
        <v>1016</v>
      </c>
    </row>
    <row r="4055" spans="1:3" ht="15">
      <c r="A4055" s="90" t="s">
        <v>265</v>
      </c>
      <c r="B4055" s="89" t="s">
        <v>4268</v>
      </c>
      <c r="C4055" s="102" t="s">
        <v>1016</v>
      </c>
    </row>
    <row r="4056" spans="1:3" ht="15">
      <c r="A4056" s="90" t="s">
        <v>265</v>
      </c>
      <c r="B4056" s="89" t="s">
        <v>3051</v>
      </c>
      <c r="C4056" s="102" t="s">
        <v>1016</v>
      </c>
    </row>
    <row r="4057" spans="1:3" ht="15">
      <c r="A4057" s="90" t="s">
        <v>265</v>
      </c>
      <c r="B4057" s="89" t="s">
        <v>4269</v>
      </c>
      <c r="C4057" s="102" t="s">
        <v>1016</v>
      </c>
    </row>
    <row r="4058" spans="1:3" ht="15">
      <c r="A4058" s="90" t="s">
        <v>265</v>
      </c>
      <c r="B4058" s="89" t="s">
        <v>4270</v>
      </c>
      <c r="C4058" s="102" t="s">
        <v>1016</v>
      </c>
    </row>
    <row r="4059" spans="1:3" ht="15">
      <c r="A4059" s="90" t="s">
        <v>265</v>
      </c>
      <c r="B4059" s="89" t="s">
        <v>3205</v>
      </c>
      <c r="C4059" s="102" t="s">
        <v>1016</v>
      </c>
    </row>
    <row r="4060" spans="1:3" ht="15">
      <c r="A4060" s="90" t="s">
        <v>265</v>
      </c>
      <c r="B4060" s="89" t="s">
        <v>4271</v>
      </c>
      <c r="C4060" s="102" t="s">
        <v>1017</v>
      </c>
    </row>
    <row r="4061" spans="1:3" ht="15">
      <c r="A4061" s="90" t="s">
        <v>265</v>
      </c>
      <c r="B4061" s="89" t="s">
        <v>4272</v>
      </c>
      <c r="C4061" s="102" t="s">
        <v>1017</v>
      </c>
    </row>
    <row r="4062" spans="1:3" ht="15">
      <c r="A4062" s="90" t="s">
        <v>265</v>
      </c>
      <c r="B4062" s="89" t="s">
        <v>4273</v>
      </c>
      <c r="C4062" s="102" t="s">
        <v>1017</v>
      </c>
    </row>
    <row r="4063" spans="1:3" ht="15">
      <c r="A4063" s="90" t="s">
        <v>265</v>
      </c>
      <c r="B4063" s="89" t="s">
        <v>4274</v>
      </c>
      <c r="C4063" s="102" t="s">
        <v>1017</v>
      </c>
    </row>
    <row r="4064" spans="1:3" ht="15">
      <c r="A4064" s="90" t="s">
        <v>265</v>
      </c>
      <c r="B4064" s="89" t="s">
        <v>4158</v>
      </c>
      <c r="C4064" s="102" t="s">
        <v>1017</v>
      </c>
    </row>
    <row r="4065" spans="1:3" ht="15">
      <c r="A4065" s="90" t="s">
        <v>265</v>
      </c>
      <c r="B4065" s="89" t="s">
        <v>3051</v>
      </c>
      <c r="C4065" s="102" t="s">
        <v>1017</v>
      </c>
    </row>
    <row r="4066" spans="1:3" ht="15">
      <c r="A4066" s="90" t="s">
        <v>265</v>
      </c>
      <c r="B4066" s="89" t="s">
        <v>4275</v>
      </c>
      <c r="C4066" s="102" t="s">
        <v>1017</v>
      </c>
    </row>
    <row r="4067" spans="1:3" ht="15">
      <c r="A4067" s="90" t="s">
        <v>265</v>
      </c>
      <c r="B4067" s="89" t="s">
        <v>3141</v>
      </c>
      <c r="C4067" s="102" t="s">
        <v>1017</v>
      </c>
    </row>
    <row r="4068" spans="1:3" ht="15">
      <c r="A4068" s="90" t="s">
        <v>265</v>
      </c>
      <c r="B4068" s="89" t="s">
        <v>3052</v>
      </c>
      <c r="C4068" s="102" t="s">
        <v>1017</v>
      </c>
    </row>
    <row r="4069" spans="1:3" ht="15">
      <c r="A4069" s="90" t="s">
        <v>265</v>
      </c>
      <c r="B4069" s="89" t="s">
        <v>4276</v>
      </c>
      <c r="C4069" s="102" t="s">
        <v>1017</v>
      </c>
    </row>
    <row r="4070" spans="1:3" ht="15">
      <c r="A4070" s="90" t="s">
        <v>265</v>
      </c>
      <c r="B4070" s="89" t="s">
        <v>4277</v>
      </c>
      <c r="C4070" s="102" t="s">
        <v>1017</v>
      </c>
    </row>
    <row r="4071" spans="1:3" ht="15">
      <c r="A4071" s="90" t="s">
        <v>265</v>
      </c>
      <c r="B4071" s="89" t="s">
        <v>4278</v>
      </c>
      <c r="C4071" s="102" t="s">
        <v>1017</v>
      </c>
    </row>
    <row r="4072" spans="1:3" ht="15">
      <c r="A4072" s="90" t="s">
        <v>265</v>
      </c>
      <c r="B4072" s="89" t="s">
        <v>2732</v>
      </c>
      <c r="C4072" s="102" t="s">
        <v>1017</v>
      </c>
    </row>
    <row r="4073" spans="1:3" ht="15">
      <c r="A4073" s="90" t="s">
        <v>265</v>
      </c>
      <c r="B4073" s="89" t="s">
        <v>2813</v>
      </c>
      <c r="C4073" s="102" t="s">
        <v>1017</v>
      </c>
    </row>
    <row r="4074" spans="1:3" ht="15">
      <c r="A4074" s="90" t="s">
        <v>265</v>
      </c>
      <c r="B4074" s="89" t="s">
        <v>4279</v>
      </c>
      <c r="C4074" s="102" t="s">
        <v>1017</v>
      </c>
    </row>
    <row r="4075" spans="1:3" ht="15">
      <c r="A4075" s="90" t="s">
        <v>265</v>
      </c>
      <c r="B4075" s="89" t="s">
        <v>712</v>
      </c>
      <c r="C4075" s="102" t="s">
        <v>1017</v>
      </c>
    </row>
    <row r="4076" spans="1:3" ht="15">
      <c r="A4076" s="90" t="s">
        <v>265</v>
      </c>
      <c r="B4076" s="89" t="s">
        <v>4280</v>
      </c>
      <c r="C4076" s="102" t="s">
        <v>1017</v>
      </c>
    </row>
    <row r="4077" spans="1:3" ht="15">
      <c r="A4077" s="90" t="s">
        <v>265</v>
      </c>
      <c r="B4077" s="89" t="s">
        <v>2912</v>
      </c>
      <c r="C4077" s="102" t="s">
        <v>1017</v>
      </c>
    </row>
    <row r="4078" spans="1:3" ht="15">
      <c r="A4078" s="90" t="s">
        <v>265</v>
      </c>
      <c r="B4078" s="89" t="s">
        <v>3155</v>
      </c>
      <c r="C4078" s="102" t="s">
        <v>1017</v>
      </c>
    </row>
    <row r="4079" spans="1:3" ht="15">
      <c r="A4079" s="90" t="s">
        <v>265</v>
      </c>
      <c r="B4079" s="89" t="s">
        <v>3661</v>
      </c>
      <c r="C4079" s="102" t="s">
        <v>1017</v>
      </c>
    </row>
    <row r="4080" spans="1:3" ht="15">
      <c r="A4080" s="90" t="s">
        <v>265</v>
      </c>
      <c r="B4080" s="89" t="s">
        <v>2706</v>
      </c>
      <c r="C4080" s="102" t="s">
        <v>1017</v>
      </c>
    </row>
    <row r="4081" spans="1:3" ht="15">
      <c r="A4081" s="90" t="s">
        <v>264</v>
      </c>
      <c r="B4081" s="89" t="s">
        <v>412</v>
      </c>
      <c r="C4081" s="102" t="s">
        <v>1015</v>
      </c>
    </row>
    <row r="4082" spans="1:3" ht="15">
      <c r="A4082" s="90" t="s">
        <v>264</v>
      </c>
      <c r="B4082" s="89" t="s">
        <v>3275</v>
      </c>
      <c r="C4082" s="102" t="s">
        <v>1015</v>
      </c>
    </row>
    <row r="4083" spans="1:3" ht="15">
      <c r="A4083" s="90" t="s">
        <v>264</v>
      </c>
      <c r="B4083" s="89" t="s">
        <v>3054</v>
      </c>
      <c r="C4083" s="102" t="s">
        <v>1015</v>
      </c>
    </row>
    <row r="4084" spans="1:3" ht="15">
      <c r="A4084" s="90" t="s">
        <v>264</v>
      </c>
      <c r="B4084" s="89" t="s">
        <v>3325</v>
      </c>
      <c r="C4084" s="102" t="s">
        <v>1015</v>
      </c>
    </row>
    <row r="4085" spans="1:3" ht="15">
      <c r="A4085" s="90" t="s">
        <v>264</v>
      </c>
      <c r="B4085" s="89" t="s">
        <v>3783</v>
      </c>
      <c r="C4085" s="102" t="s">
        <v>1015</v>
      </c>
    </row>
    <row r="4086" spans="1:3" ht="15">
      <c r="A4086" s="90" t="s">
        <v>264</v>
      </c>
      <c r="B4086" s="89" t="s">
        <v>4142</v>
      </c>
      <c r="C4086" s="102" t="s">
        <v>1015</v>
      </c>
    </row>
    <row r="4087" spans="1:3" ht="15">
      <c r="A4087" s="90" t="s">
        <v>264</v>
      </c>
      <c r="B4087" s="89" t="s">
        <v>4281</v>
      </c>
      <c r="C4087" s="102" t="s">
        <v>1015</v>
      </c>
    </row>
    <row r="4088" spans="1:3" ht="15">
      <c r="A4088" s="90" t="s">
        <v>264</v>
      </c>
      <c r="B4088" s="89" t="s">
        <v>2707</v>
      </c>
      <c r="C4088" s="102" t="s">
        <v>1015</v>
      </c>
    </row>
    <row r="4089" spans="1:3" ht="15">
      <c r="A4089" s="90" t="s">
        <v>264</v>
      </c>
      <c r="B4089" s="89" t="s">
        <v>4282</v>
      </c>
      <c r="C4089" s="102" t="s">
        <v>1015</v>
      </c>
    </row>
    <row r="4090" spans="1:3" ht="15">
      <c r="A4090" s="90" t="s">
        <v>264</v>
      </c>
      <c r="B4090" s="89" t="s">
        <v>3055</v>
      </c>
      <c r="C4090" s="102" t="s">
        <v>1015</v>
      </c>
    </row>
    <row r="4091" spans="1:3" ht="15">
      <c r="A4091" s="90" t="s">
        <v>264</v>
      </c>
      <c r="B4091" s="89" t="s">
        <v>4283</v>
      </c>
      <c r="C4091" s="102" t="s">
        <v>1015</v>
      </c>
    </row>
    <row r="4092" spans="1:3" ht="15">
      <c r="A4092" s="90" t="s">
        <v>264</v>
      </c>
      <c r="B4092" s="89" t="s">
        <v>4284</v>
      </c>
      <c r="C4092" s="102" t="s">
        <v>1015</v>
      </c>
    </row>
    <row r="4093" spans="1:3" ht="15">
      <c r="A4093" s="90" t="s">
        <v>264</v>
      </c>
      <c r="B4093" s="89" t="s">
        <v>2899</v>
      </c>
      <c r="C4093" s="102" t="s">
        <v>1015</v>
      </c>
    </row>
    <row r="4094" spans="1:3" ht="15">
      <c r="A4094" s="90" t="s">
        <v>264</v>
      </c>
      <c r="B4094" s="89" t="s">
        <v>4285</v>
      </c>
      <c r="C4094" s="102" t="s">
        <v>1015</v>
      </c>
    </row>
    <row r="4095" spans="1:3" ht="15">
      <c r="A4095" s="90" t="s">
        <v>264</v>
      </c>
      <c r="B4095" s="89" t="s">
        <v>4286</v>
      </c>
      <c r="C4095" s="102" t="s">
        <v>1015</v>
      </c>
    </row>
    <row r="4096" spans="1:3" ht="15">
      <c r="A4096" s="90" t="s">
        <v>264</v>
      </c>
      <c r="B4096" s="89" t="s">
        <v>4287</v>
      </c>
      <c r="C4096" s="102" t="s">
        <v>1015</v>
      </c>
    </row>
    <row r="4097" spans="1:3" ht="15">
      <c r="A4097" s="90" t="s">
        <v>264</v>
      </c>
      <c r="B4097" s="89" t="s">
        <v>4288</v>
      </c>
      <c r="C4097" s="102" t="s">
        <v>1015</v>
      </c>
    </row>
    <row r="4098" spans="1:3" ht="15">
      <c r="A4098" s="90" t="s">
        <v>264</v>
      </c>
      <c r="B4098" s="89" t="s">
        <v>4289</v>
      </c>
      <c r="C4098" s="102" t="s">
        <v>1015</v>
      </c>
    </row>
    <row r="4099" spans="1:3" ht="15">
      <c r="A4099" s="90" t="s">
        <v>264</v>
      </c>
      <c r="B4099" s="89" t="s">
        <v>4290</v>
      </c>
      <c r="C4099" s="102" t="s">
        <v>1015</v>
      </c>
    </row>
    <row r="4100" spans="1:3" ht="15">
      <c r="A4100" s="90" t="s">
        <v>264</v>
      </c>
      <c r="B4100" s="89" t="s">
        <v>2685</v>
      </c>
      <c r="C4100" s="102" t="s">
        <v>1015</v>
      </c>
    </row>
    <row r="4101" spans="1:3" ht="15">
      <c r="A4101" s="90" t="s">
        <v>264</v>
      </c>
      <c r="B4101" s="89" t="s">
        <v>3137</v>
      </c>
      <c r="C4101" s="102" t="s">
        <v>1015</v>
      </c>
    </row>
    <row r="4102" spans="1:3" ht="15">
      <c r="A4102" s="90" t="s">
        <v>264</v>
      </c>
      <c r="B4102" s="89" t="s">
        <v>4291</v>
      </c>
      <c r="C4102" s="102" t="s">
        <v>1015</v>
      </c>
    </row>
    <row r="4103" spans="1:3" ht="15">
      <c r="A4103" s="90" t="s">
        <v>264</v>
      </c>
      <c r="B4103" s="89" t="s">
        <v>4292</v>
      </c>
      <c r="C4103" s="102" t="s">
        <v>1015</v>
      </c>
    </row>
    <row r="4104" spans="1:3" ht="15">
      <c r="A4104" s="90" t="s">
        <v>264</v>
      </c>
      <c r="B4104" s="89" t="s">
        <v>4293</v>
      </c>
      <c r="C4104" s="102" t="s">
        <v>1015</v>
      </c>
    </row>
    <row r="4105" spans="1:3" ht="15">
      <c r="A4105" s="90" t="s">
        <v>264</v>
      </c>
      <c r="B4105" s="89" t="s">
        <v>4294</v>
      </c>
      <c r="C4105" s="102" t="s">
        <v>1015</v>
      </c>
    </row>
    <row r="4106" spans="1:3" ht="15">
      <c r="A4106" s="90" t="s">
        <v>264</v>
      </c>
      <c r="B4106" s="89" t="s">
        <v>4295</v>
      </c>
      <c r="C4106" s="102" t="s">
        <v>1015</v>
      </c>
    </row>
    <row r="4107" spans="1:3" ht="15">
      <c r="A4107" s="90" t="s">
        <v>264</v>
      </c>
      <c r="B4107" s="89" t="s">
        <v>3263</v>
      </c>
      <c r="C4107" s="102" t="s">
        <v>1015</v>
      </c>
    </row>
    <row r="4108" spans="1:3" ht="15">
      <c r="A4108" s="90" t="s">
        <v>264</v>
      </c>
      <c r="B4108" s="89" t="s">
        <v>4296</v>
      </c>
      <c r="C4108" s="102" t="s">
        <v>1015</v>
      </c>
    </row>
    <row r="4109" spans="1:3" ht="15">
      <c r="A4109" s="90" t="s">
        <v>264</v>
      </c>
      <c r="B4109" s="89" t="s">
        <v>4297</v>
      </c>
      <c r="C4109" s="102" t="s">
        <v>1015</v>
      </c>
    </row>
    <row r="4110" spans="1:3" ht="15">
      <c r="A4110" s="90" t="s">
        <v>264</v>
      </c>
      <c r="B4110" s="89" t="s">
        <v>3165</v>
      </c>
      <c r="C4110" s="102" t="s">
        <v>1015</v>
      </c>
    </row>
    <row r="4111" spans="1:3" ht="15">
      <c r="A4111" s="90" t="s">
        <v>264</v>
      </c>
      <c r="B4111" s="89" t="s">
        <v>712</v>
      </c>
      <c r="C4111" s="102" t="s">
        <v>1015</v>
      </c>
    </row>
    <row r="4112" spans="1:3" ht="15">
      <c r="A4112" s="90" t="s">
        <v>264</v>
      </c>
      <c r="B4112" s="89" t="s">
        <v>4298</v>
      </c>
      <c r="C4112" s="102" t="s">
        <v>1015</v>
      </c>
    </row>
    <row r="4113" spans="1:3" ht="15">
      <c r="A4113" s="90" t="s">
        <v>264</v>
      </c>
      <c r="B4113" s="89" t="s">
        <v>412</v>
      </c>
      <c r="C4113" s="102" t="s">
        <v>1014</v>
      </c>
    </row>
    <row r="4114" spans="1:3" ht="15">
      <c r="A4114" s="90" t="s">
        <v>264</v>
      </c>
      <c r="B4114" s="89" t="s">
        <v>3764</v>
      </c>
      <c r="C4114" s="102" t="s">
        <v>1014</v>
      </c>
    </row>
    <row r="4115" spans="1:3" ht="15">
      <c r="A4115" s="90" t="s">
        <v>264</v>
      </c>
      <c r="B4115" s="89" t="s">
        <v>2717</v>
      </c>
      <c r="C4115" s="102" t="s">
        <v>1014</v>
      </c>
    </row>
    <row r="4116" spans="1:3" ht="15">
      <c r="A4116" s="90" t="s">
        <v>264</v>
      </c>
      <c r="B4116" s="89" t="s">
        <v>3204</v>
      </c>
      <c r="C4116" s="102" t="s">
        <v>1014</v>
      </c>
    </row>
    <row r="4117" spans="1:3" ht="15">
      <c r="A4117" s="90" t="s">
        <v>264</v>
      </c>
      <c r="B4117" s="89" t="s">
        <v>3141</v>
      </c>
      <c r="C4117" s="102" t="s">
        <v>1014</v>
      </c>
    </row>
    <row r="4118" spans="1:3" ht="15">
      <c r="A4118" s="90" t="s">
        <v>264</v>
      </c>
      <c r="B4118" s="89" t="s">
        <v>4299</v>
      </c>
      <c r="C4118" s="102" t="s">
        <v>1014</v>
      </c>
    </row>
    <row r="4119" spans="1:3" ht="15">
      <c r="A4119" s="90" t="s">
        <v>264</v>
      </c>
      <c r="B4119" s="89" t="s">
        <v>2665</v>
      </c>
      <c r="C4119" s="102" t="s">
        <v>1014</v>
      </c>
    </row>
    <row r="4120" spans="1:3" ht="15">
      <c r="A4120" s="90" t="s">
        <v>264</v>
      </c>
      <c r="B4120" s="89" t="s">
        <v>3475</v>
      </c>
      <c r="C4120" s="102" t="s">
        <v>1014</v>
      </c>
    </row>
    <row r="4121" spans="1:3" ht="15">
      <c r="A4121" s="90" t="s">
        <v>264</v>
      </c>
      <c r="B4121" s="89" t="s">
        <v>2707</v>
      </c>
      <c r="C4121" s="102" t="s">
        <v>1014</v>
      </c>
    </row>
    <row r="4122" spans="1:3" ht="15">
      <c r="A4122" s="90" t="s">
        <v>264</v>
      </c>
      <c r="B4122" s="89" t="s">
        <v>4020</v>
      </c>
      <c r="C4122" s="102" t="s">
        <v>1014</v>
      </c>
    </row>
    <row r="4123" spans="1:3" ht="15">
      <c r="A4123" s="90" t="s">
        <v>264</v>
      </c>
      <c r="B4123" s="89" t="s">
        <v>3054</v>
      </c>
      <c r="C4123" s="102" t="s">
        <v>1014</v>
      </c>
    </row>
    <row r="4124" spans="1:3" ht="15">
      <c r="A4124" s="90" t="s">
        <v>264</v>
      </c>
      <c r="B4124" s="89" t="s">
        <v>4300</v>
      </c>
      <c r="C4124" s="102" t="s">
        <v>1014</v>
      </c>
    </row>
    <row r="4125" spans="1:3" ht="15">
      <c r="A4125" s="90" t="s">
        <v>264</v>
      </c>
      <c r="B4125" s="89" t="s">
        <v>4301</v>
      </c>
      <c r="C4125" s="102" t="s">
        <v>1014</v>
      </c>
    </row>
    <row r="4126" spans="1:3" ht="15">
      <c r="A4126" s="90" t="s">
        <v>264</v>
      </c>
      <c r="B4126" s="89" t="s">
        <v>3334</v>
      </c>
      <c r="C4126" s="102" t="s">
        <v>1014</v>
      </c>
    </row>
    <row r="4127" spans="1:3" ht="15">
      <c r="A4127" s="90" t="s">
        <v>264</v>
      </c>
      <c r="B4127" s="89" t="s">
        <v>4302</v>
      </c>
      <c r="C4127" s="102" t="s">
        <v>1014</v>
      </c>
    </row>
    <row r="4128" spans="1:3" ht="15">
      <c r="A4128" s="90" t="s">
        <v>264</v>
      </c>
      <c r="B4128" s="89" t="s">
        <v>3628</v>
      </c>
      <c r="C4128" s="102" t="s">
        <v>1014</v>
      </c>
    </row>
    <row r="4129" spans="1:3" ht="15">
      <c r="A4129" s="90" t="s">
        <v>264</v>
      </c>
      <c r="B4129" s="89" t="s">
        <v>3211</v>
      </c>
      <c r="C4129" s="102" t="s">
        <v>1014</v>
      </c>
    </row>
    <row r="4130" spans="1:3" ht="15">
      <c r="A4130" s="90" t="s">
        <v>264</v>
      </c>
      <c r="B4130" s="89" t="s">
        <v>3055</v>
      </c>
      <c r="C4130" s="102" t="s">
        <v>1014</v>
      </c>
    </row>
    <row r="4131" spans="1:3" ht="15">
      <c r="A4131" s="90" t="s">
        <v>264</v>
      </c>
      <c r="B4131" s="89" t="s">
        <v>4303</v>
      </c>
      <c r="C4131" s="102" t="s">
        <v>1014</v>
      </c>
    </row>
    <row r="4132" spans="1:3" ht="15">
      <c r="A4132" s="90" t="s">
        <v>264</v>
      </c>
      <c r="B4132" s="89" t="s">
        <v>3056</v>
      </c>
      <c r="C4132" s="102" t="s">
        <v>1014</v>
      </c>
    </row>
    <row r="4133" spans="1:3" ht="15">
      <c r="A4133" s="90" t="s">
        <v>263</v>
      </c>
      <c r="B4133" s="89" t="s">
        <v>411</v>
      </c>
      <c r="C4133" s="102" t="s">
        <v>1013</v>
      </c>
    </row>
    <row r="4134" spans="1:3" ht="15">
      <c r="A4134" s="90" t="s">
        <v>263</v>
      </c>
      <c r="B4134" s="89" t="s">
        <v>410</v>
      </c>
      <c r="C4134" s="102" t="s">
        <v>1013</v>
      </c>
    </row>
    <row r="4135" spans="1:3" ht="15">
      <c r="A4135" s="90" t="s">
        <v>263</v>
      </c>
      <c r="B4135" s="89" t="s">
        <v>3325</v>
      </c>
      <c r="C4135" s="102" t="s">
        <v>1013</v>
      </c>
    </row>
    <row r="4136" spans="1:3" ht="15">
      <c r="A4136" s="90" t="s">
        <v>263</v>
      </c>
      <c r="B4136" s="89" t="s">
        <v>4304</v>
      </c>
      <c r="C4136" s="102" t="s">
        <v>1013</v>
      </c>
    </row>
    <row r="4137" spans="1:3" ht="15">
      <c r="A4137" s="90" t="s">
        <v>263</v>
      </c>
      <c r="B4137" s="89" t="s">
        <v>4305</v>
      </c>
      <c r="C4137" s="102" t="s">
        <v>1013</v>
      </c>
    </row>
    <row r="4138" spans="1:3" ht="15">
      <c r="A4138" s="90" t="s">
        <v>263</v>
      </c>
      <c r="B4138" s="89" t="s">
        <v>3141</v>
      </c>
      <c r="C4138" s="102" t="s">
        <v>1013</v>
      </c>
    </row>
    <row r="4139" spans="1:3" ht="15">
      <c r="A4139" s="90" t="s">
        <v>263</v>
      </c>
      <c r="B4139" s="89" t="s">
        <v>712</v>
      </c>
      <c r="C4139" s="102" t="s">
        <v>1013</v>
      </c>
    </row>
    <row r="4140" spans="1:3" ht="15">
      <c r="A4140" s="90" t="s">
        <v>263</v>
      </c>
      <c r="B4140" s="89" t="s">
        <v>2665</v>
      </c>
      <c r="C4140" s="102" t="s">
        <v>1013</v>
      </c>
    </row>
    <row r="4141" spans="1:3" ht="15">
      <c r="A4141" s="90" t="s">
        <v>263</v>
      </c>
      <c r="B4141" s="89" t="s">
        <v>4306</v>
      </c>
      <c r="C4141" s="102" t="s">
        <v>1013</v>
      </c>
    </row>
    <row r="4142" spans="1:3" ht="15">
      <c r="A4142" s="90" t="s">
        <v>263</v>
      </c>
      <c r="B4142" s="89" t="s">
        <v>4307</v>
      </c>
      <c r="C4142" s="102" t="s">
        <v>1013</v>
      </c>
    </row>
    <row r="4143" spans="1:3" ht="15">
      <c r="A4143" s="90" t="s">
        <v>263</v>
      </c>
      <c r="B4143" s="89" t="s">
        <v>2759</v>
      </c>
      <c r="C4143" s="102" t="s">
        <v>1013</v>
      </c>
    </row>
    <row r="4144" spans="1:3" ht="15">
      <c r="A4144" s="90" t="s">
        <v>263</v>
      </c>
      <c r="B4144" s="89" t="s">
        <v>3137</v>
      </c>
      <c r="C4144" s="102" t="s">
        <v>1013</v>
      </c>
    </row>
    <row r="4145" spans="1:3" ht="15">
      <c r="A4145" s="90" t="s">
        <v>263</v>
      </c>
      <c r="B4145" s="89" t="s">
        <v>4308</v>
      </c>
      <c r="C4145" s="102" t="s">
        <v>1013</v>
      </c>
    </row>
    <row r="4146" spans="1:3" ht="15">
      <c r="A4146" s="90" t="s">
        <v>263</v>
      </c>
      <c r="B4146" s="89" t="s">
        <v>4309</v>
      </c>
      <c r="C4146" s="102" t="s">
        <v>1013</v>
      </c>
    </row>
    <row r="4147" spans="1:3" ht="15">
      <c r="A4147" s="90" t="s">
        <v>263</v>
      </c>
      <c r="B4147" s="89" t="s">
        <v>2716</v>
      </c>
      <c r="C4147" s="102" t="s">
        <v>1013</v>
      </c>
    </row>
    <row r="4148" spans="1:3" ht="15">
      <c r="A4148" s="90" t="s">
        <v>263</v>
      </c>
      <c r="B4148" s="89" t="s">
        <v>4310</v>
      </c>
      <c r="C4148" s="102" t="s">
        <v>1013</v>
      </c>
    </row>
    <row r="4149" spans="1:3" ht="15">
      <c r="A4149" s="90" t="s">
        <v>262</v>
      </c>
      <c r="B4149" s="89" t="s">
        <v>3442</v>
      </c>
      <c r="C4149" s="102" t="s">
        <v>1012</v>
      </c>
    </row>
    <row r="4150" spans="1:3" ht="15">
      <c r="A4150" s="90" t="s">
        <v>262</v>
      </c>
      <c r="B4150" s="89" t="s">
        <v>4311</v>
      </c>
      <c r="C4150" s="102" t="s">
        <v>1012</v>
      </c>
    </row>
    <row r="4151" spans="1:3" ht="15">
      <c r="A4151" s="90" t="s">
        <v>262</v>
      </c>
      <c r="B4151" s="89" t="s">
        <v>4312</v>
      </c>
      <c r="C4151" s="102" t="s">
        <v>1012</v>
      </c>
    </row>
    <row r="4152" spans="1:3" ht="15">
      <c r="A4152" s="90" t="s">
        <v>262</v>
      </c>
      <c r="B4152" s="89" t="s">
        <v>3239</v>
      </c>
      <c r="C4152" s="102" t="s">
        <v>1012</v>
      </c>
    </row>
    <row r="4153" spans="1:3" ht="15">
      <c r="A4153" s="90" t="s">
        <v>262</v>
      </c>
      <c r="B4153" s="89" t="s">
        <v>3378</v>
      </c>
      <c r="C4153" s="102" t="s">
        <v>1012</v>
      </c>
    </row>
    <row r="4154" spans="1:3" ht="15">
      <c r="A4154" s="90" t="s">
        <v>262</v>
      </c>
      <c r="B4154" s="89" t="s">
        <v>4132</v>
      </c>
      <c r="C4154" s="102" t="s">
        <v>1012</v>
      </c>
    </row>
    <row r="4155" spans="1:3" ht="15">
      <c r="A4155" s="90" t="s">
        <v>262</v>
      </c>
      <c r="B4155" s="89" t="s">
        <v>4313</v>
      </c>
      <c r="C4155" s="102" t="s">
        <v>1012</v>
      </c>
    </row>
    <row r="4156" spans="1:3" ht="15">
      <c r="A4156" s="90" t="s">
        <v>262</v>
      </c>
      <c r="B4156" s="89" t="s">
        <v>4314</v>
      </c>
      <c r="C4156" s="102" t="s">
        <v>1012</v>
      </c>
    </row>
    <row r="4157" spans="1:3" ht="15">
      <c r="A4157" s="90" t="s">
        <v>262</v>
      </c>
      <c r="B4157" s="89" t="s">
        <v>2709</v>
      </c>
      <c r="C4157" s="102" t="s">
        <v>1012</v>
      </c>
    </row>
    <row r="4158" spans="1:3" ht="15">
      <c r="A4158" s="90" t="s">
        <v>262</v>
      </c>
      <c r="B4158" s="89" t="s">
        <v>712</v>
      </c>
      <c r="C4158" s="102" t="s">
        <v>1012</v>
      </c>
    </row>
    <row r="4159" spans="1:3" ht="15">
      <c r="A4159" s="90" t="s">
        <v>262</v>
      </c>
      <c r="B4159" s="89" t="s">
        <v>4315</v>
      </c>
      <c r="C4159" s="102" t="s">
        <v>1012</v>
      </c>
    </row>
    <row r="4160" spans="1:3" ht="15">
      <c r="A4160" s="90" t="s">
        <v>262</v>
      </c>
      <c r="B4160" s="89" t="s">
        <v>3299</v>
      </c>
      <c r="C4160" s="102" t="s">
        <v>1012</v>
      </c>
    </row>
    <row r="4161" spans="1:3" ht="15">
      <c r="A4161" s="90" t="s">
        <v>262</v>
      </c>
      <c r="B4161" s="89" t="s">
        <v>3538</v>
      </c>
      <c r="C4161" s="102" t="s">
        <v>1012</v>
      </c>
    </row>
    <row r="4162" spans="1:3" ht="15">
      <c r="A4162" s="90" t="s">
        <v>262</v>
      </c>
      <c r="B4162" s="89" t="s">
        <v>4316</v>
      </c>
      <c r="C4162" s="102" t="s">
        <v>1012</v>
      </c>
    </row>
    <row r="4163" spans="1:3" ht="15">
      <c r="A4163" s="90" t="s">
        <v>262</v>
      </c>
      <c r="B4163" s="89" t="s">
        <v>2749</v>
      </c>
      <c r="C4163" s="102" t="s">
        <v>1012</v>
      </c>
    </row>
    <row r="4164" spans="1:3" ht="15">
      <c r="A4164" s="90" t="s">
        <v>262</v>
      </c>
      <c r="B4164" s="89" t="s">
        <v>3201</v>
      </c>
      <c r="C4164" s="102" t="s">
        <v>1012</v>
      </c>
    </row>
    <row r="4165" spans="1:3" ht="15">
      <c r="A4165" s="90" t="s">
        <v>262</v>
      </c>
      <c r="B4165" s="89" t="s">
        <v>3137</v>
      </c>
      <c r="C4165" s="102" t="s">
        <v>1012</v>
      </c>
    </row>
    <row r="4166" spans="1:3" ht="15">
      <c r="A4166" s="90" t="s">
        <v>262</v>
      </c>
      <c r="B4166" s="89" t="s">
        <v>4317</v>
      </c>
      <c r="C4166" s="102" t="s">
        <v>1012</v>
      </c>
    </row>
    <row r="4167" spans="1:3" ht="15">
      <c r="A4167" s="90" t="s">
        <v>262</v>
      </c>
      <c r="B4167" s="89" t="s">
        <v>3145</v>
      </c>
      <c r="C4167" s="102" t="s">
        <v>1012</v>
      </c>
    </row>
    <row r="4168" spans="1:3" ht="15">
      <c r="A4168" s="90" t="s">
        <v>262</v>
      </c>
      <c r="B4168" s="89" t="s">
        <v>4318</v>
      </c>
      <c r="C4168" s="102" t="s">
        <v>1012</v>
      </c>
    </row>
    <row r="4169" spans="1:3" ht="15">
      <c r="A4169" s="90" t="s">
        <v>262</v>
      </c>
      <c r="B4169" s="89" t="s">
        <v>4319</v>
      </c>
      <c r="C4169" s="102" t="s">
        <v>1012</v>
      </c>
    </row>
    <row r="4170" spans="1:3" ht="15">
      <c r="A4170" s="90" t="s">
        <v>262</v>
      </c>
      <c r="B4170" s="89" t="s">
        <v>3141</v>
      </c>
      <c r="C4170" s="102" t="s">
        <v>1012</v>
      </c>
    </row>
    <row r="4171" spans="1:3" ht="15">
      <c r="A4171" s="90" t="s">
        <v>262</v>
      </c>
      <c r="B4171" s="89" t="s">
        <v>3595</v>
      </c>
      <c r="C4171" s="102" t="s">
        <v>1012</v>
      </c>
    </row>
    <row r="4172" spans="1:3" ht="15">
      <c r="A4172" s="90" t="s">
        <v>262</v>
      </c>
      <c r="B4172" s="89" t="s">
        <v>3211</v>
      </c>
      <c r="C4172" s="102" t="s">
        <v>1012</v>
      </c>
    </row>
    <row r="4173" spans="1:3" ht="15">
      <c r="A4173" s="90" t="s">
        <v>262</v>
      </c>
      <c r="B4173" s="89" t="s">
        <v>4320</v>
      </c>
      <c r="C4173" s="102" t="s">
        <v>1012</v>
      </c>
    </row>
    <row r="4174" spans="1:3" ht="15">
      <c r="A4174" s="90" t="s">
        <v>262</v>
      </c>
      <c r="B4174" s="89" t="s">
        <v>4321</v>
      </c>
      <c r="C4174" s="102" t="s">
        <v>1012</v>
      </c>
    </row>
    <row r="4175" spans="1:3" ht="15">
      <c r="A4175" s="90" t="s">
        <v>262</v>
      </c>
      <c r="B4175" s="89" t="s">
        <v>4322</v>
      </c>
      <c r="C4175" s="102" t="s">
        <v>1012</v>
      </c>
    </row>
    <row r="4176" spans="1:3" ht="15">
      <c r="A4176" s="90" t="s">
        <v>262</v>
      </c>
      <c r="B4176" s="89" t="s">
        <v>4323</v>
      </c>
      <c r="C4176" s="102" t="s">
        <v>1012</v>
      </c>
    </row>
    <row r="4177" spans="1:3" ht="15">
      <c r="A4177" s="90" t="s">
        <v>262</v>
      </c>
      <c r="B4177" s="89">
        <v>7321332</v>
      </c>
      <c r="C4177" s="102" t="s">
        <v>1012</v>
      </c>
    </row>
    <row r="4178" spans="1:3" ht="15">
      <c r="A4178" s="90" t="s">
        <v>261</v>
      </c>
      <c r="B4178" s="89" t="s">
        <v>409</v>
      </c>
      <c r="C4178" s="102" t="s">
        <v>1010</v>
      </c>
    </row>
    <row r="4179" spans="1:3" ht="15">
      <c r="A4179" s="90" t="s">
        <v>261</v>
      </c>
      <c r="B4179" s="89" t="s">
        <v>3204</v>
      </c>
      <c r="C4179" s="102" t="s">
        <v>1010</v>
      </c>
    </row>
    <row r="4180" spans="1:3" ht="15">
      <c r="A4180" s="90" t="s">
        <v>261</v>
      </c>
      <c r="B4180" s="89" t="s">
        <v>2834</v>
      </c>
      <c r="C4180" s="102" t="s">
        <v>1010</v>
      </c>
    </row>
    <row r="4181" spans="1:3" ht="15">
      <c r="A4181" s="90" t="s">
        <v>261</v>
      </c>
      <c r="B4181" s="89" t="s">
        <v>3347</v>
      </c>
      <c r="C4181" s="102" t="s">
        <v>1010</v>
      </c>
    </row>
    <row r="4182" spans="1:3" ht="15">
      <c r="A4182" s="90" t="s">
        <v>261</v>
      </c>
      <c r="B4182" s="89" t="s">
        <v>3227</v>
      </c>
      <c r="C4182" s="102" t="s">
        <v>1010</v>
      </c>
    </row>
    <row r="4183" spans="1:3" ht="15">
      <c r="A4183" s="90" t="s">
        <v>261</v>
      </c>
      <c r="B4183" s="89" t="s">
        <v>3205</v>
      </c>
      <c r="C4183" s="102" t="s">
        <v>1010</v>
      </c>
    </row>
    <row r="4184" spans="1:3" ht="15">
      <c r="A4184" s="90" t="s">
        <v>261</v>
      </c>
      <c r="B4184" s="89" t="s">
        <v>4324</v>
      </c>
      <c r="C4184" s="102" t="s">
        <v>1010</v>
      </c>
    </row>
    <row r="4185" spans="1:3" ht="15">
      <c r="A4185" s="90" t="s">
        <v>261</v>
      </c>
      <c r="B4185" s="89" t="s">
        <v>4325</v>
      </c>
      <c r="C4185" s="102" t="s">
        <v>1010</v>
      </c>
    </row>
    <row r="4186" spans="1:3" ht="15">
      <c r="A4186" s="90" t="s">
        <v>261</v>
      </c>
      <c r="B4186" s="89" t="s">
        <v>4326</v>
      </c>
      <c r="C4186" s="102" t="s">
        <v>1010</v>
      </c>
    </row>
    <row r="4187" spans="1:3" ht="15">
      <c r="A4187" s="90" t="s">
        <v>261</v>
      </c>
      <c r="B4187" s="89" t="s">
        <v>2737</v>
      </c>
      <c r="C4187" s="102" t="s">
        <v>1010</v>
      </c>
    </row>
    <row r="4188" spans="1:3" ht="15">
      <c r="A4188" s="90" t="s">
        <v>261</v>
      </c>
      <c r="B4188" s="89" t="s">
        <v>2903</v>
      </c>
      <c r="C4188" s="102" t="s">
        <v>1010</v>
      </c>
    </row>
    <row r="4189" spans="1:3" ht="15">
      <c r="A4189" s="90" t="s">
        <v>261</v>
      </c>
      <c r="B4189" s="89" t="s">
        <v>4327</v>
      </c>
      <c r="C4189" s="102" t="s">
        <v>1010</v>
      </c>
    </row>
    <row r="4190" spans="1:3" ht="15">
      <c r="A4190" s="90" t="s">
        <v>261</v>
      </c>
      <c r="B4190" s="89" t="s">
        <v>4328</v>
      </c>
      <c r="C4190" s="102" t="s">
        <v>1010</v>
      </c>
    </row>
    <row r="4191" spans="1:3" ht="15">
      <c r="A4191" s="90" t="s">
        <v>261</v>
      </c>
      <c r="B4191" s="89" t="s">
        <v>3681</v>
      </c>
      <c r="C4191" s="102" t="s">
        <v>1011</v>
      </c>
    </row>
    <row r="4192" spans="1:3" ht="15">
      <c r="A4192" s="90" t="s">
        <v>261</v>
      </c>
      <c r="B4192" s="89" t="s">
        <v>4329</v>
      </c>
      <c r="C4192" s="102" t="s">
        <v>1011</v>
      </c>
    </row>
    <row r="4193" spans="1:3" ht="15">
      <c r="A4193" s="90" t="s">
        <v>261</v>
      </c>
      <c r="B4193" s="89" t="s">
        <v>4330</v>
      </c>
      <c r="C4193" s="102" t="s">
        <v>1011</v>
      </c>
    </row>
    <row r="4194" spans="1:3" ht="15">
      <c r="A4194" s="90" t="s">
        <v>261</v>
      </c>
      <c r="B4194" s="89" t="s">
        <v>712</v>
      </c>
      <c r="C4194" s="102" t="s">
        <v>1011</v>
      </c>
    </row>
    <row r="4195" spans="1:3" ht="15">
      <c r="A4195" s="90" t="s">
        <v>261</v>
      </c>
      <c r="B4195" s="89" t="s">
        <v>3778</v>
      </c>
      <c r="C4195" s="102" t="s">
        <v>1011</v>
      </c>
    </row>
    <row r="4196" spans="1:3" ht="15">
      <c r="A4196" s="90" t="s">
        <v>261</v>
      </c>
      <c r="B4196" s="89" t="s">
        <v>4331</v>
      </c>
      <c r="C4196" s="102" t="s">
        <v>1011</v>
      </c>
    </row>
    <row r="4197" spans="1:3" ht="15">
      <c r="A4197" s="90" t="s">
        <v>261</v>
      </c>
      <c r="B4197" s="89" t="s">
        <v>3263</v>
      </c>
      <c r="C4197" s="102" t="s">
        <v>1011</v>
      </c>
    </row>
    <row r="4198" spans="1:3" ht="15">
      <c r="A4198" s="90" t="s">
        <v>261</v>
      </c>
      <c r="B4198" s="89" t="s">
        <v>3201</v>
      </c>
      <c r="C4198" s="102" t="s">
        <v>1011</v>
      </c>
    </row>
    <row r="4199" spans="1:3" ht="15">
      <c r="A4199" s="90" t="s">
        <v>261</v>
      </c>
      <c r="B4199" s="89" t="s">
        <v>3155</v>
      </c>
      <c r="C4199" s="102" t="s">
        <v>1011</v>
      </c>
    </row>
    <row r="4200" spans="1:3" ht="15">
      <c r="A4200" s="90" t="s">
        <v>261</v>
      </c>
      <c r="B4200" s="89" t="s">
        <v>4332</v>
      </c>
      <c r="C4200" s="102" t="s">
        <v>1011</v>
      </c>
    </row>
    <row r="4201" spans="1:3" ht="15">
      <c r="A4201" s="90" t="s">
        <v>261</v>
      </c>
      <c r="B4201" s="89" t="s">
        <v>4333</v>
      </c>
      <c r="C4201" s="102" t="s">
        <v>1011</v>
      </c>
    </row>
    <row r="4202" spans="1:3" ht="15">
      <c r="A4202" s="90" t="s">
        <v>261</v>
      </c>
      <c r="B4202" s="89" t="s">
        <v>3305</v>
      </c>
      <c r="C4202" s="102" t="s">
        <v>1011</v>
      </c>
    </row>
    <row r="4203" spans="1:3" ht="15">
      <c r="A4203" s="90" t="s">
        <v>261</v>
      </c>
      <c r="B4203" s="89" t="s">
        <v>3192</v>
      </c>
      <c r="C4203" s="102" t="s">
        <v>1011</v>
      </c>
    </row>
    <row r="4204" spans="1:3" ht="15">
      <c r="A4204" s="90" t="s">
        <v>261</v>
      </c>
      <c r="B4204" s="89" t="s">
        <v>2713</v>
      </c>
      <c r="C4204" s="102" t="s">
        <v>1011</v>
      </c>
    </row>
    <row r="4205" spans="1:3" ht="15">
      <c r="A4205" s="90" t="s">
        <v>261</v>
      </c>
      <c r="B4205" s="89" t="s">
        <v>3448</v>
      </c>
      <c r="C4205" s="102" t="s">
        <v>1011</v>
      </c>
    </row>
    <row r="4206" spans="1:3" ht="15">
      <c r="A4206" s="90" t="s">
        <v>261</v>
      </c>
      <c r="B4206" s="89" t="s">
        <v>3347</v>
      </c>
      <c r="C4206" s="102" t="s">
        <v>1011</v>
      </c>
    </row>
    <row r="4207" spans="1:3" ht="15">
      <c r="A4207" s="90" t="s">
        <v>260</v>
      </c>
      <c r="B4207" s="89" t="s">
        <v>3204</v>
      </c>
      <c r="C4207" s="102" t="s">
        <v>1009</v>
      </c>
    </row>
    <row r="4208" spans="1:3" ht="15">
      <c r="A4208" s="90" t="s">
        <v>260</v>
      </c>
      <c r="B4208" s="89" t="s">
        <v>2762</v>
      </c>
      <c r="C4208" s="102" t="s">
        <v>1009</v>
      </c>
    </row>
    <row r="4209" spans="1:3" ht="15">
      <c r="A4209" s="90" t="s">
        <v>260</v>
      </c>
      <c r="B4209" s="89" t="s">
        <v>4334</v>
      </c>
      <c r="C4209" s="102" t="s">
        <v>1009</v>
      </c>
    </row>
    <row r="4210" spans="1:3" ht="15">
      <c r="A4210" s="90" t="s">
        <v>260</v>
      </c>
      <c r="B4210" s="89" t="s">
        <v>3347</v>
      </c>
      <c r="C4210" s="102" t="s">
        <v>1009</v>
      </c>
    </row>
    <row r="4211" spans="1:3" ht="15">
      <c r="A4211" s="90" t="s">
        <v>260</v>
      </c>
      <c r="B4211" s="89" t="s">
        <v>3227</v>
      </c>
      <c r="C4211" s="102" t="s">
        <v>1009</v>
      </c>
    </row>
    <row r="4212" spans="1:3" ht="15">
      <c r="A4212" s="90" t="s">
        <v>260</v>
      </c>
      <c r="B4212" s="89" t="s">
        <v>3155</v>
      </c>
      <c r="C4212" s="102" t="s">
        <v>1009</v>
      </c>
    </row>
    <row r="4213" spans="1:3" ht="15">
      <c r="A4213" s="90" t="s">
        <v>260</v>
      </c>
      <c r="B4213" s="89" t="s">
        <v>3205</v>
      </c>
      <c r="C4213" s="102" t="s">
        <v>1009</v>
      </c>
    </row>
    <row r="4214" spans="1:3" ht="15">
      <c r="A4214" s="90" t="s">
        <v>260</v>
      </c>
      <c r="B4214" s="89" t="s">
        <v>3253</v>
      </c>
      <c r="C4214" s="102" t="s">
        <v>1009</v>
      </c>
    </row>
    <row r="4215" spans="1:3" ht="15">
      <c r="A4215" s="90" t="s">
        <v>259</v>
      </c>
      <c r="B4215" s="89" t="s">
        <v>408</v>
      </c>
      <c r="C4215" s="102" t="s">
        <v>1008</v>
      </c>
    </row>
    <row r="4216" spans="1:3" ht="15">
      <c r="A4216" s="90" t="s">
        <v>259</v>
      </c>
      <c r="B4216" s="89" t="s">
        <v>407</v>
      </c>
      <c r="C4216" s="102" t="s">
        <v>1008</v>
      </c>
    </row>
    <row r="4217" spans="1:3" ht="15">
      <c r="A4217" s="90" t="s">
        <v>259</v>
      </c>
      <c r="B4217" s="89" t="s">
        <v>4335</v>
      </c>
      <c r="C4217" s="102" t="s">
        <v>1008</v>
      </c>
    </row>
    <row r="4218" spans="1:3" ht="15">
      <c r="A4218" s="90" t="s">
        <v>259</v>
      </c>
      <c r="B4218" s="89" t="s">
        <v>3204</v>
      </c>
      <c r="C4218" s="102" t="s">
        <v>1008</v>
      </c>
    </row>
    <row r="4219" spans="1:3" ht="15">
      <c r="A4219" s="90" t="s">
        <v>259</v>
      </c>
      <c r="B4219" s="89" t="s">
        <v>2781</v>
      </c>
      <c r="C4219" s="102" t="s">
        <v>1008</v>
      </c>
    </row>
    <row r="4220" spans="1:3" ht="15">
      <c r="A4220" s="90" t="s">
        <v>259</v>
      </c>
      <c r="B4220" s="89" t="s">
        <v>3308</v>
      </c>
      <c r="C4220" s="102" t="s">
        <v>1008</v>
      </c>
    </row>
    <row r="4221" spans="1:3" ht="15">
      <c r="A4221" s="90" t="s">
        <v>259</v>
      </c>
      <c r="B4221" s="89" t="s">
        <v>3030</v>
      </c>
      <c r="C4221" s="102" t="s">
        <v>1008</v>
      </c>
    </row>
    <row r="4222" spans="1:3" ht="15">
      <c r="A4222" s="90" t="s">
        <v>259</v>
      </c>
      <c r="B4222" s="89" t="s">
        <v>4336</v>
      </c>
      <c r="C4222" s="102" t="s">
        <v>1008</v>
      </c>
    </row>
    <row r="4223" spans="1:3" ht="15">
      <c r="A4223" s="90" t="s">
        <v>259</v>
      </c>
      <c r="B4223" s="89" t="s">
        <v>4337</v>
      </c>
      <c r="C4223" s="102" t="s">
        <v>1008</v>
      </c>
    </row>
    <row r="4224" spans="1:3" ht="15">
      <c r="A4224" s="90" t="s">
        <v>259</v>
      </c>
      <c r="B4224" s="89" t="s">
        <v>4338</v>
      </c>
      <c r="C4224" s="102" t="s">
        <v>1008</v>
      </c>
    </row>
    <row r="4225" spans="1:3" ht="15">
      <c r="A4225" s="90" t="s">
        <v>259</v>
      </c>
      <c r="B4225" s="89" t="s">
        <v>4324</v>
      </c>
      <c r="C4225" s="102" t="s">
        <v>1008</v>
      </c>
    </row>
    <row r="4226" spans="1:3" ht="15">
      <c r="A4226" s="90" t="s">
        <v>259</v>
      </c>
      <c r="B4226" s="89" t="s">
        <v>3309</v>
      </c>
      <c r="C4226" s="102" t="s">
        <v>1008</v>
      </c>
    </row>
    <row r="4227" spans="1:3" ht="15">
      <c r="A4227" s="90" t="s">
        <v>259</v>
      </c>
      <c r="B4227" s="89" t="s">
        <v>2710</v>
      </c>
      <c r="C4227" s="102" t="s">
        <v>1008</v>
      </c>
    </row>
    <row r="4228" spans="1:3" ht="15">
      <c r="A4228" s="90" t="s">
        <v>259</v>
      </c>
      <c r="B4228" s="89" t="s">
        <v>4339</v>
      </c>
      <c r="C4228" s="102" t="s">
        <v>1008</v>
      </c>
    </row>
    <row r="4229" spans="1:3" ht="15">
      <c r="A4229" s="90" t="s">
        <v>259</v>
      </c>
      <c r="B4229" s="89">
        <v>19</v>
      </c>
      <c r="C4229" s="102" t="s">
        <v>1008</v>
      </c>
    </row>
    <row r="4230" spans="1:3" ht="15">
      <c r="A4230" s="90" t="s">
        <v>259</v>
      </c>
      <c r="B4230" s="89" t="s">
        <v>2807</v>
      </c>
      <c r="C4230" s="102" t="s">
        <v>1008</v>
      </c>
    </row>
    <row r="4231" spans="1:3" ht="15">
      <c r="A4231" s="90" t="s">
        <v>259</v>
      </c>
      <c r="B4231" s="89" t="s">
        <v>3347</v>
      </c>
      <c r="C4231" s="102" t="s">
        <v>1008</v>
      </c>
    </row>
    <row r="4232" spans="1:3" ht="15">
      <c r="A4232" s="90" t="s">
        <v>259</v>
      </c>
      <c r="B4232" s="89" t="s">
        <v>4340</v>
      </c>
      <c r="C4232" s="102" t="s">
        <v>1008</v>
      </c>
    </row>
    <row r="4233" spans="1:3" ht="15">
      <c r="A4233" s="90" t="s">
        <v>259</v>
      </c>
      <c r="B4233" s="89" t="s">
        <v>2705</v>
      </c>
      <c r="C4233" s="102" t="s">
        <v>1008</v>
      </c>
    </row>
    <row r="4234" spans="1:3" ht="15">
      <c r="A4234" s="90" t="s">
        <v>259</v>
      </c>
      <c r="B4234" s="89" t="s">
        <v>4341</v>
      </c>
      <c r="C4234" s="102" t="s">
        <v>1008</v>
      </c>
    </row>
    <row r="4235" spans="1:3" ht="15">
      <c r="A4235" s="90" t="s">
        <v>259</v>
      </c>
      <c r="B4235" s="89" t="s">
        <v>3488</v>
      </c>
      <c r="C4235" s="102" t="s">
        <v>1008</v>
      </c>
    </row>
    <row r="4236" spans="1:3" ht="15">
      <c r="A4236" s="90" t="s">
        <v>259</v>
      </c>
      <c r="B4236" s="89" t="s">
        <v>2681</v>
      </c>
      <c r="C4236" s="102" t="s">
        <v>1008</v>
      </c>
    </row>
    <row r="4237" spans="1:3" ht="15">
      <c r="A4237" s="90" t="s">
        <v>259</v>
      </c>
      <c r="B4237" s="89" t="s">
        <v>3137</v>
      </c>
      <c r="C4237" s="102" t="s">
        <v>1008</v>
      </c>
    </row>
    <row r="4238" spans="1:3" ht="15">
      <c r="A4238" s="90" t="s">
        <v>259</v>
      </c>
      <c r="B4238" s="89" t="s">
        <v>4342</v>
      </c>
      <c r="C4238" s="102" t="s">
        <v>1008</v>
      </c>
    </row>
    <row r="4239" spans="1:3" ht="15">
      <c r="A4239" s="90" t="s">
        <v>259</v>
      </c>
      <c r="B4239" s="89" t="s">
        <v>4343</v>
      </c>
      <c r="C4239" s="102" t="s">
        <v>1008</v>
      </c>
    </row>
    <row r="4240" spans="1:3" ht="15">
      <c r="A4240" s="90" t="s">
        <v>259</v>
      </c>
      <c r="B4240" s="89" t="s">
        <v>4344</v>
      </c>
      <c r="C4240" s="102" t="s">
        <v>1008</v>
      </c>
    </row>
    <row r="4241" spans="1:3" ht="15">
      <c r="A4241" s="90" t="s">
        <v>259</v>
      </c>
      <c r="B4241" s="89" t="s">
        <v>4345</v>
      </c>
      <c r="C4241" s="102" t="s">
        <v>1008</v>
      </c>
    </row>
    <row r="4242" spans="1:3" ht="15">
      <c r="A4242" s="90" t="s">
        <v>258</v>
      </c>
      <c r="B4242" s="89" t="s">
        <v>4346</v>
      </c>
      <c r="C4242" s="102" t="s">
        <v>1007</v>
      </c>
    </row>
    <row r="4243" spans="1:3" ht="15">
      <c r="A4243" s="90" t="s">
        <v>258</v>
      </c>
      <c r="B4243" s="89" t="s">
        <v>4347</v>
      </c>
      <c r="C4243" s="102" t="s">
        <v>1007</v>
      </c>
    </row>
    <row r="4244" spans="1:3" ht="15">
      <c r="A4244" s="90" t="s">
        <v>258</v>
      </c>
      <c r="B4244" s="89" t="s">
        <v>4348</v>
      </c>
      <c r="C4244" s="102" t="s">
        <v>1007</v>
      </c>
    </row>
    <row r="4245" spans="1:3" ht="15">
      <c r="A4245" s="90" t="s">
        <v>258</v>
      </c>
      <c r="B4245" s="89" t="s">
        <v>4349</v>
      </c>
      <c r="C4245" s="102" t="s">
        <v>1007</v>
      </c>
    </row>
    <row r="4246" spans="1:3" ht="15">
      <c r="A4246" s="90" t="s">
        <v>258</v>
      </c>
      <c r="B4246" s="89" t="s">
        <v>4350</v>
      </c>
      <c r="C4246" s="102" t="s">
        <v>1007</v>
      </c>
    </row>
    <row r="4247" spans="1:3" ht="15">
      <c r="A4247" s="90" t="s">
        <v>258</v>
      </c>
      <c r="B4247" s="89" t="s">
        <v>4351</v>
      </c>
      <c r="C4247" s="102" t="s">
        <v>1007</v>
      </c>
    </row>
    <row r="4248" spans="1:3" ht="15">
      <c r="A4248" s="90" t="s">
        <v>258</v>
      </c>
      <c r="B4248" s="89" t="s">
        <v>3137</v>
      </c>
      <c r="C4248" s="102" t="s">
        <v>1007</v>
      </c>
    </row>
    <row r="4249" spans="1:3" ht="15">
      <c r="A4249" s="90" t="s">
        <v>258</v>
      </c>
      <c r="B4249" s="89" t="s">
        <v>3648</v>
      </c>
      <c r="C4249" s="102" t="s">
        <v>1007</v>
      </c>
    </row>
    <row r="4250" spans="1:3" ht="15">
      <c r="A4250" s="90" t="s">
        <v>258</v>
      </c>
      <c r="B4250" s="89" t="s">
        <v>4352</v>
      </c>
      <c r="C4250" s="102" t="s">
        <v>1007</v>
      </c>
    </row>
    <row r="4251" spans="1:3" ht="15">
      <c r="A4251" s="90" t="s">
        <v>258</v>
      </c>
      <c r="B4251" s="89" t="s">
        <v>4353</v>
      </c>
      <c r="C4251" s="102" t="s">
        <v>1007</v>
      </c>
    </row>
    <row r="4252" spans="1:3" ht="15">
      <c r="A4252" s="90" t="s">
        <v>258</v>
      </c>
      <c r="B4252" s="89" t="s">
        <v>3642</v>
      </c>
      <c r="C4252" s="102" t="s">
        <v>1007</v>
      </c>
    </row>
    <row r="4253" spans="1:3" ht="15">
      <c r="A4253" s="90" t="s">
        <v>258</v>
      </c>
      <c r="B4253" s="89" t="s">
        <v>3448</v>
      </c>
      <c r="C4253" s="102" t="s">
        <v>1007</v>
      </c>
    </row>
    <row r="4254" spans="1:3" ht="15">
      <c r="A4254" s="90" t="s">
        <v>258</v>
      </c>
      <c r="B4254" s="89" t="s">
        <v>3263</v>
      </c>
      <c r="C4254" s="102" t="s">
        <v>1007</v>
      </c>
    </row>
    <row r="4255" spans="1:3" ht="15">
      <c r="A4255" s="90" t="s">
        <v>258</v>
      </c>
      <c r="B4255" s="89" t="s">
        <v>712</v>
      </c>
      <c r="C4255" s="102" t="s">
        <v>1007</v>
      </c>
    </row>
    <row r="4256" spans="1:3" ht="15">
      <c r="A4256" s="90" t="s">
        <v>258</v>
      </c>
      <c r="B4256" s="89" t="s">
        <v>3029</v>
      </c>
      <c r="C4256" s="102" t="s">
        <v>1007</v>
      </c>
    </row>
    <row r="4257" spans="1:3" ht="15">
      <c r="A4257" s="90" t="s">
        <v>258</v>
      </c>
      <c r="B4257" s="89" t="s">
        <v>2661</v>
      </c>
      <c r="C4257" s="102" t="s">
        <v>1007</v>
      </c>
    </row>
    <row r="4258" spans="1:3" ht="15">
      <c r="A4258" s="90" t="s">
        <v>258</v>
      </c>
      <c r="B4258" s="89" t="s">
        <v>2734</v>
      </c>
      <c r="C4258" s="102" t="s">
        <v>1007</v>
      </c>
    </row>
    <row r="4259" spans="1:3" ht="15">
      <c r="A4259" s="90" t="s">
        <v>258</v>
      </c>
      <c r="B4259" s="89" t="s">
        <v>4204</v>
      </c>
      <c r="C4259" s="102" t="s">
        <v>1007</v>
      </c>
    </row>
    <row r="4260" spans="1:3" ht="15">
      <c r="A4260" s="90" t="s">
        <v>257</v>
      </c>
      <c r="B4260" s="89" t="s">
        <v>400</v>
      </c>
      <c r="C4260" s="102" t="s">
        <v>1006</v>
      </c>
    </row>
    <row r="4261" spans="1:3" ht="15">
      <c r="A4261" s="90" t="s">
        <v>257</v>
      </c>
      <c r="B4261" s="89" t="s">
        <v>3204</v>
      </c>
      <c r="C4261" s="102" t="s">
        <v>1006</v>
      </c>
    </row>
    <row r="4262" spans="1:3" ht="15">
      <c r="A4262" s="90" t="s">
        <v>257</v>
      </c>
      <c r="B4262" s="89" t="s">
        <v>4354</v>
      </c>
      <c r="C4262" s="102" t="s">
        <v>1006</v>
      </c>
    </row>
    <row r="4263" spans="1:3" ht="15">
      <c r="A4263" s="90" t="s">
        <v>257</v>
      </c>
      <c r="B4263" s="89" t="s">
        <v>4355</v>
      </c>
      <c r="C4263" s="102" t="s">
        <v>1006</v>
      </c>
    </row>
    <row r="4264" spans="1:3" ht="15">
      <c r="A4264" s="90" t="s">
        <v>257</v>
      </c>
      <c r="B4264" s="89" t="s">
        <v>3196</v>
      </c>
      <c r="C4264" s="102" t="s">
        <v>1006</v>
      </c>
    </row>
    <row r="4265" spans="1:3" ht="15">
      <c r="A4265" s="90" t="s">
        <v>257</v>
      </c>
      <c r="B4265" s="89" t="s">
        <v>3141</v>
      </c>
      <c r="C4265" s="102" t="s">
        <v>1006</v>
      </c>
    </row>
    <row r="4266" spans="1:3" ht="15">
      <c r="A4266" s="90" t="s">
        <v>257</v>
      </c>
      <c r="B4266" s="89" t="s">
        <v>4356</v>
      </c>
      <c r="C4266" s="102" t="s">
        <v>1006</v>
      </c>
    </row>
    <row r="4267" spans="1:3" ht="15">
      <c r="A4267" s="90" t="s">
        <v>257</v>
      </c>
      <c r="B4267" s="89" t="s">
        <v>4357</v>
      </c>
      <c r="C4267" s="102" t="s">
        <v>1006</v>
      </c>
    </row>
    <row r="4268" spans="1:3" ht="15">
      <c r="A4268" s="90" t="s">
        <v>257</v>
      </c>
      <c r="B4268" s="89" t="s">
        <v>3032</v>
      </c>
      <c r="C4268" s="102" t="s">
        <v>1006</v>
      </c>
    </row>
    <row r="4269" spans="1:3" ht="15">
      <c r="A4269" s="90" t="s">
        <v>257</v>
      </c>
      <c r="B4269" s="89" t="s">
        <v>4358</v>
      </c>
      <c r="C4269" s="102" t="s">
        <v>1006</v>
      </c>
    </row>
    <row r="4270" spans="1:3" ht="15">
      <c r="A4270" s="90" t="s">
        <v>257</v>
      </c>
      <c r="B4270" s="89" t="s">
        <v>4359</v>
      </c>
      <c r="C4270" s="102" t="s">
        <v>1006</v>
      </c>
    </row>
    <row r="4271" spans="1:3" ht="15">
      <c r="A4271" s="90" t="s">
        <v>257</v>
      </c>
      <c r="B4271" s="89" t="s">
        <v>3137</v>
      </c>
      <c r="C4271" s="102" t="s">
        <v>1006</v>
      </c>
    </row>
    <row r="4272" spans="1:3" ht="15">
      <c r="A4272" s="90" t="s">
        <v>257</v>
      </c>
      <c r="B4272" s="89" t="s">
        <v>4360</v>
      </c>
      <c r="C4272" s="102" t="s">
        <v>1006</v>
      </c>
    </row>
    <row r="4273" spans="1:3" ht="15">
      <c r="A4273" s="90" t="s">
        <v>256</v>
      </c>
      <c r="B4273" s="89" t="s">
        <v>4361</v>
      </c>
      <c r="C4273" s="102" t="s">
        <v>1005</v>
      </c>
    </row>
    <row r="4274" spans="1:3" ht="15">
      <c r="A4274" s="90" t="s">
        <v>256</v>
      </c>
      <c r="B4274" s="89" t="s">
        <v>3681</v>
      </c>
      <c r="C4274" s="102" t="s">
        <v>1005</v>
      </c>
    </row>
    <row r="4275" spans="1:3" ht="15">
      <c r="A4275" s="90" t="s">
        <v>256</v>
      </c>
      <c r="B4275" s="89" t="s">
        <v>4362</v>
      </c>
      <c r="C4275" s="102" t="s">
        <v>1005</v>
      </c>
    </row>
    <row r="4276" spans="1:3" ht="15">
      <c r="A4276" s="90" t="s">
        <v>256</v>
      </c>
      <c r="B4276" s="89" t="s">
        <v>4363</v>
      </c>
      <c r="C4276" s="102" t="s">
        <v>1005</v>
      </c>
    </row>
    <row r="4277" spans="1:3" ht="15">
      <c r="A4277" s="90" t="s">
        <v>256</v>
      </c>
      <c r="B4277" s="89" t="s">
        <v>3784</v>
      </c>
      <c r="C4277" s="102" t="s">
        <v>1005</v>
      </c>
    </row>
    <row r="4278" spans="1:3" ht="15">
      <c r="A4278" s="90" t="s">
        <v>256</v>
      </c>
      <c r="B4278" s="89" t="s">
        <v>3141</v>
      </c>
      <c r="C4278" s="102" t="s">
        <v>1005</v>
      </c>
    </row>
    <row r="4279" spans="1:3" ht="15">
      <c r="A4279" s="90" t="s">
        <v>256</v>
      </c>
      <c r="B4279" s="89" t="s">
        <v>3724</v>
      </c>
      <c r="C4279" s="102" t="s">
        <v>1005</v>
      </c>
    </row>
    <row r="4280" spans="1:3" ht="15">
      <c r="A4280" s="90" t="s">
        <v>256</v>
      </c>
      <c r="B4280" s="89" t="s">
        <v>3056</v>
      </c>
      <c r="C4280" s="102" t="s">
        <v>1005</v>
      </c>
    </row>
    <row r="4281" spans="1:3" ht="15">
      <c r="A4281" s="90" t="s">
        <v>256</v>
      </c>
      <c r="B4281" s="89" t="s">
        <v>3346</v>
      </c>
      <c r="C4281" s="102" t="s">
        <v>1005</v>
      </c>
    </row>
    <row r="4282" spans="1:3" ht="15">
      <c r="A4282" s="90" t="s">
        <v>256</v>
      </c>
      <c r="B4282" s="89" t="s">
        <v>712</v>
      </c>
      <c r="C4282" s="102" t="s">
        <v>1005</v>
      </c>
    </row>
    <row r="4283" spans="1:3" ht="15">
      <c r="A4283" s="90" t="s">
        <v>256</v>
      </c>
      <c r="B4283" s="89" t="s">
        <v>3894</v>
      </c>
      <c r="C4283" s="102" t="s">
        <v>1005</v>
      </c>
    </row>
    <row r="4284" spans="1:3" ht="15">
      <c r="A4284" s="90" t="s">
        <v>256</v>
      </c>
      <c r="B4284" s="89" t="s">
        <v>4364</v>
      </c>
      <c r="C4284" s="102" t="s">
        <v>1005</v>
      </c>
    </row>
    <row r="4285" spans="1:3" ht="15">
      <c r="A4285" s="90" t="s">
        <v>256</v>
      </c>
      <c r="B4285" s="89" t="s">
        <v>3987</v>
      </c>
      <c r="C4285" s="102" t="s">
        <v>1005</v>
      </c>
    </row>
    <row r="4286" spans="1:3" ht="15">
      <c r="A4286" s="90" t="s">
        <v>256</v>
      </c>
      <c r="B4286" s="89" t="s">
        <v>2809</v>
      </c>
      <c r="C4286" s="102" t="s">
        <v>1005</v>
      </c>
    </row>
    <row r="4287" spans="1:3" ht="15">
      <c r="A4287" s="90" t="s">
        <v>256</v>
      </c>
      <c r="B4287" s="89" t="s">
        <v>4365</v>
      </c>
      <c r="C4287" s="102" t="s">
        <v>1005</v>
      </c>
    </row>
    <row r="4288" spans="1:3" ht="15">
      <c r="A4288" s="90" t="s">
        <v>256</v>
      </c>
      <c r="B4288" s="89" t="s">
        <v>2847</v>
      </c>
      <c r="C4288" s="102" t="s">
        <v>1005</v>
      </c>
    </row>
    <row r="4289" spans="1:3" ht="15">
      <c r="A4289" s="90" t="s">
        <v>256</v>
      </c>
      <c r="B4289" s="89" t="s">
        <v>3323</v>
      </c>
      <c r="C4289" s="102" t="s">
        <v>1005</v>
      </c>
    </row>
    <row r="4290" spans="1:3" ht="15">
      <c r="A4290" s="90" t="s">
        <v>256</v>
      </c>
      <c r="B4290" s="89" t="s">
        <v>3201</v>
      </c>
      <c r="C4290" s="102" t="s">
        <v>1005</v>
      </c>
    </row>
    <row r="4291" spans="1:3" ht="15">
      <c r="A4291" s="90" t="s">
        <v>256</v>
      </c>
      <c r="B4291" s="89" t="s">
        <v>3155</v>
      </c>
      <c r="C4291" s="102" t="s">
        <v>1005</v>
      </c>
    </row>
    <row r="4292" spans="1:3" ht="15">
      <c r="A4292" s="90" t="s">
        <v>256</v>
      </c>
      <c r="B4292" s="89" t="s">
        <v>2956</v>
      </c>
      <c r="C4292" s="102" t="s">
        <v>1005</v>
      </c>
    </row>
    <row r="4293" spans="1:3" ht="15">
      <c r="A4293" s="90" t="s">
        <v>256</v>
      </c>
      <c r="B4293" s="89" t="s">
        <v>3046</v>
      </c>
      <c r="C4293" s="102" t="s">
        <v>1005</v>
      </c>
    </row>
    <row r="4294" spans="1:3" ht="15">
      <c r="A4294" s="90" t="s">
        <v>256</v>
      </c>
      <c r="B4294" s="89" t="s">
        <v>4366</v>
      </c>
      <c r="C4294" s="102" t="s">
        <v>1005</v>
      </c>
    </row>
    <row r="4295" spans="1:3" ht="15">
      <c r="A4295" s="90" t="s">
        <v>256</v>
      </c>
      <c r="B4295" s="89" t="s">
        <v>3165</v>
      </c>
      <c r="C4295" s="102" t="s">
        <v>1005</v>
      </c>
    </row>
    <row r="4296" spans="1:3" ht="15">
      <c r="A4296" s="90" t="s">
        <v>256</v>
      </c>
      <c r="B4296" s="89" t="s">
        <v>3302</v>
      </c>
      <c r="C4296" s="102" t="s">
        <v>1005</v>
      </c>
    </row>
    <row r="4297" spans="1:3" ht="15">
      <c r="A4297" s="90" t="s">
        <v>256</v>
      </c>
      <c r="B4297" s="89" t="s">
        <v>3264</v>
      </c>
      <c r="C4297" s="102" t="s">
        <v>1005</v>
      </c>
    </row>
    <row r="4298" spans="1:3" ht="15">
      <c r="A4298" s="90" t="s">
        <v>256</v>
      </c>
      <c r="B4298" s="89" t="s">
        <v>3028</v>
      </c>
      <c r="C4298" s="102" t="s">
        <v>1005</v>
      </c>
    </row>
    <row r="4299" spans="1:3" ht="15">
      <c r="A4299" s="90" t="s">
        <v>256</v>
      </c>
      <c r="B4299" s="89" t="s">
        <v>3725</v>
      </c>
      <c r="C4299" s="102" t="s">
        <v>1005</v>
      </c>
    </row>
    <row r="4300" spans="1:3" ht="15">
      <c r="A4300" s="90" t="s">
        <v>256</v>
      </c>
      <c r="B4300" s="89" t="s">
        <v>3211</v>
      </c>
      <c r="C4300" s="102" t="s">
        <v>1005</v>
      </c>
    </row>
    <row r="4301" spans="1:3" ht="15">
      <c r="A4301" s="90" t="s">
        <v>256</v>
      </c>
      <c r="B4301" s="89" t="s">
        <v>2912</v>
      </c>
      <c r="C4301" s="102" t="s">
        <v>1005</v>
      </c>
    </row>
    <row r="4302" spans="1:3" ht="15">
      <c r="A4302" s="90" t="s">
        <v>256</v>
      </c>
      <c r="B4302" s="89" t="s">
        <v>2841</v>
      </c>
      <c r="C4302" s="102" t="s">
        <v>1005</v>
      </c>
    </row>
    <row r="4303" spans="1:3" ht="15">
      <c r="A4303" s="90" t="s">
        <v>256</v>
      </c>
      <c r="B4303" s="89" t="s">
        <v>3464</v>
      </c>
      <c r="C4303" s="102" t="s">
        <v>1005</v>
      </c>
    </row>
    <row r="4304" spans="1:3" ht="15">
      <c r="A4304" s="90" t="s">
        <v>256</v>
      </c>
      <c r="B4304" s="89" t="s">
        <v>4367</v>
      </c>
      <c r="C4304" s="102" t="s">
        <v>1005</v>
      </c>
    </row>
    <row r="4305" spans="1:3" ht="15">
      <c r="A4305" s="90" t="s">
        <v>256</v>
      </c>
      <c r="B4305" s="89" t="s">
        <v>4368</v>
      </c>
      <c r="C4305" s="102" t="s">
        <v>1005</v>
      </c>
    </row>
    <row r="4306" spans="1:3" ht="15">
      <c r="A4306" s="90" t="s">
        <v>255</v>
      </c>
      <c r="B4306" s="89" t="s">
        <v>4369</v>
      </c>
      <c r="C4306" s="102" t="s">
        <v>1004</v>
      </c>
    </row>
    <row r="4307" spans="1:3" ht="15">
      <c r="A4307" s="90" t="s">
        <v>255</v>
      </c>
      <c r="B4307" s="89" t="s">
        <v>385</v>
      </c>
      <c r="C4307" s="102" t="s">
        <v>1004</v>
      </c>
    </row>
    <row r="4308" spans="1:3" ht="15">
      <c r="A4308" s="90" t="s">
        <v>255</v>
      </c>
      <c r="B4308" s="89" t="s">
        <v>3204</v>
      </c>
      <c r="C4308" s="102" t="s">
        <v>1004</v>
      </c>
    </row>
    <row r="4309" spans="1:3" ht="15">
      <c r="A4309" s="90" t="s">
        <v>255</v>
      </c>
      <c r="B4309" s="89" t="s">
        <v>3137</v>
      </c>
      <c r="C4309" s="102" t="s">
        <v>1004</v>
      </c>
    </row>
    <row r="4310" spans="1:3" ht="15">
      <c r="A4310" s="90" t="s">
        <v>255</v>
      </c>
      <c r="B4310" s="89" t="s">
        <v>4370</v>
      </c>
      <c r="C4310" s="102" t="s">
        <v>1004</v>
      </c>
    </row>
    <row r="4311" spans="1:3" ht="15">
      <c r="A4311" s="90" t="s">
        <v>255</v>
      </c>
      <c r="B4311" s="89" t="s">
        <v>2661</v>
      </c>
      <c r="C4311" s="102" t="s">
        <v>1004</v>
      </c>
    </row>
    <row r="4312" spans="1:3" ht="15">
      <c r="A4312" s="90" t="s">
        <v>255</v>
      </c>
      <c r="B4312" s="89" t="s">
        <v>2734</v>
      </c>
      <c r="C4312" s="102" t="s">
        <v>1004</v>
      </c>
    </row>
    <row r="4313" spans="1:3" ht="15">
      <c r="A4313" s="90" t="s">
        <v>255</v>
      </c>
      <c r="B4313" s="89" t="s">
        <v>4204</v>
      </c>
      <c r="C4313" s="102" t="s">
        <v>1004</v>
      </c>
    </row>
    <row r="4314" spans="1:3" ht="15">
      <c r="A4314" s="90" t="s">
        <v>255</v>
      </c>
      <c r="B4314" s="89" t="s">
        <v>3299</v>
      </c>
      <c r="C4314" s="102" t="s">
        <v>1004</v>
      </c>
    </row>
    <row r="4315" spans="1:3" ht="15">
      <c r="A4315" s="90" t="s">
        <v>255</v>
      </c>
      <c r="B4315" s="89" t="s">
        <v>3155</v>
      </c>
      <c r="C4315" s="102" t="s">
        <v>1004</v>
      </c>
    </row>
    <row r="4316" spans="1:3" ht="15">
      <c r="A4316" s="90" t="s">
        <v>255</v>
      </c>
      <c r="B4316" s="89" t="s">
        <v>4371</v>
      </c>
      <c r="C4316" s="102" t="s">
        <v>1004</v>
      </c>
    </row>
    <row r="4317" spans="1:3" ht="15">
      <c r="A4317" s="90" t="s">
        <v>255</v>
      </c>
      <c r="B4317" s="89" t="s">
        <v>3818</v>
      </c>
      <c r="C4317" s="102" t="s">
        <v>1004</v>
      </c>
    </row>
    <row r="4318" spans="1:3" ht="15">
      <c r="A4318" s="90" t="s">
        <v>255</v>
      </c>
      <c r="B4318" s="89" t="s">
        <v>4372</v>
      </c>
      <c r="C4318" s="102" t="s">
        <v>1004</v>
      </c>
    </row>
    <row r="4319" spans="1:3" ht="15">
      <c r="A4319" s="90" t="s">
        <v>255</v>
      </c>
      <c r="B4319" s="89" t="s">
        <v>4373</v>
      </c>
      <c r="C4319" s="102" t="s">
        <v>1004</v>
      </c>
    </row>
    <row r="4320" spans="1:3" ht="15">
      <c r="A4320" s="90" t="s">
        <v>254</v>
      </c>
      <c r="B4320" s="89" t="s">
        <v>301</v>
      </c>
      <c r="C4320" s="102" t="s">
        <v>1003</v>
      </c>
    </row>
    <row r="4321" spans="1:3" ht="15">
      <c r="A4321" s="90" t="s">
        <v>254</v>
      </c>
      <c r="B4321" s="89" t="s">
        <v>4374</v>
      </c>
      <c r="C4321" s="102" t="s">
        <v>1003</v>
      </c>
    </row>
    <row r="4322" spans="1:3" ht="15">
      <c r="A4322" s="90" t="s">
        <v>254</v>
      </c>
      <c r="B4322" s="89" t="s">
        <v>4375</v>
      </c>
      <c r="C4322" s="102" t="s">
        <v>1003</v>
      </c>
    </row>
    <row r="4323" spans="1:3" ht="15">
      <c r="A4323" s="90" t="s">
        <v>254</v>
      </c>
      <c r="B4323" s="89" t="s">
        <v>4376</v>
      </c>
      <c r="C4323" s="102" t="s">
        <v>1003</v>
      </c>
    </row>
    <row r="4324" spans="1:3" ht="15">
      <c r="A4324" s="90" t="s">
        <v>254</v>
      </c>
      <c r="B4324" s="89" t="s">
        <v>4377</v>
      </c>
      <c r="C4324" s="102" t="s">
        <v>1003</v>
      </c>
    </row>
    <row r="4325" spans="1:3" ht="15">
      <c r="A4325" s="90" t="s">
        <v>254</v>
      </c>
      <c r="B4325" s="89" t="s">
        <v>3165</v>
      </c>
      <c r="C4325" s="102" t="s">
        <v>1003</v>
      </c>
    </row>
    <row r="4326" spans="1:3" ht="15">
      <c r="A4326" s="90" t="s">
        <v>254</v>
      </c>
      <c r="B4326" s="89" t="s">
        <v>712</v>
      </c>
      <c r="C4326" s="102" t="s">
        <v>1003</v>
      </c>
    </row>
    <row r="4327" spans="1:3" ht="15">
      <c r="A4327" s="90" t="s">
        <v>254</v>
      </c>
      <c r="B4327" s="89" t="s">
        <v>3155</v>
      </c>
      <c r="C4327" s="102" t="s">
        <v>1003</v>
      </c>
    </row>
    <row r="4328" spans="1:3" ht="15">
      <c r="A4328" s="90" t="s">
        <v>254</v>
      </c>
      <c r="B4328" s="89" t="s">
        <v>2706</v>
      </c>
      <c r="C4328" s="102" t="s">
        <v>1003</v>
      </c>
    </row>
    <row r="4329" spans="1:3" ht="15">
      <c r="A4329" s="90" t="s">
        <v>254</v>
      </c>
      <c r="B4329" s="89" t="s">
        <v>4378</v>
      </c>
      <c r="C4329" s="102" t="s">
        <v>1003</v>
      </c>
    </row>
    <row r="4330" spans="1:3" ht="15">
      <c r="A4330" s="90" t="s">
        <v>254</v>
      </c>
      <c r="B4330" s="89" t="s">
        <v>4379</v>
      </c>
      <c r="C4330" s="102" t="s">
        <v>1003</v>
      </c>
    </row>
    <row r="4331" spans="1:3" ht="15">
      <c r="A4331" s="90" t="s">
        <v>254</v>
      </c>
      <c r="B4331" s="89" t="s">
        <v>3214</v>
      </c>
      <c r="C4331" s="102" t="s">
        <v>1003</v>
      </c>
    </row>
    <row r="4332" spans="1:3" ht="15">
      <c r="A4332" s="90" t="s">
        <v>254</v>
      </c>
      <c r="B4332" s="89" t="s">
        <v>3484</v>
      </c>
      <c r="C4332" s="102" t="s">
        <v>1003</v>
      </c>
    </row>
    <row r="4333" spans="1:3" ht="15">
      <c r="A4333" s="90" t="s">
        <v>254</v>
      </c>
      <c r="B4333" s="89" t="s">
        <v>3053</v>
      </c>
      <c r="C4333" s="102" t="s">
        <v>1003</v>
      </c>
    </row>
    <row r="4334" spans="1:3" ht="15">
      <c r="A4334" s="90" t="s">
        <v>254</v>
      </c>
      <c r="B4334" s="89" t="s">
        <v>4380</v>
      </c>
      <c r="C4334" s="102" t="s">
        <v>1003</v>
      </c>
    </row>
    <row r="4335" spans="1:3" ht="15">
      <c r="A4335" s="90" t="s">
        <v>254</v>
      </c>
      <c r="B4335" s="89" t="s">
        <v>3047</v>
      </c>
      <c r="C4335" s="102" t="s">
        <v>1003</v>
      </c>
    </row>
    <row r="4336" spans="1:3" ht="15">
      <c r="A4336" s="90" t="s">
        <v>254</v>
      </c>
      <c r="B4336" s="89" t="s">
        <v>2713</v>
      </c>
      <c r="C4336" s="102" t="s">
        <v>1003</v>
      </c>
    </row>
    <row r="4337" spans="1:3" ht="15">
      <c r="A4337" s="90" t="s">
        <v>254</v>
      </c>
      <c r="B4337" s="89" t="s">
        <v>4158</v>
      </c>
      <c r="C4337" s="102" t="s">
        <v>1003</v>
      </c>
    </row>
    <row r="4338" spans="1:3" ht="15">
      <c r="A4338" s="90" t="s">
        <v>254</v>
      </c>
      <c r="B4338" s="89" t="s">
        <v>3057</v>
      </c>
      <c r="C4338" s="102" t="s">
        <v>1003</v>
      </c>
    </row>
    <row r="4339" spans="1:3" ht="15">
      <c r="A4339" s="90" t="s">
        <v>254</v>
      </c>
      <c r="B4339" s="89" t="s">
        <v>4381</v>
      </c>
      <c r="C4339" s="102" t="s">
        <v>1003</v>
      </c>
    </row>
    <row r="4340" spans="1:3" ht="15">
      <c r="A4340" s="90" t="s">
        <v>254</v>
      </c>
      <c r="B4340" s="89" t="s">
        <v>4382</v>
      </c>
      <c r="C4340" s="102" t="s">
        <v>1003</v>
      </c>
    </row>
    <row r="4341" spans="1:3" ht="15">
      <c r="A4341" s="90" t="s">
        <v>254</v>
      </c>
      <c r="B4341" s="89" t="s">
        <v>4383</v>
      </c>
      <c r="C4341" s="102" t="s">
        <v>1003</v>
      </c>
    </row>
    <row r="4342" spans="1:3" ht="15">
      <c r="A4342" s="90" t="s">
        <v>254</v>
      </c>
      <c r="B4342" s="89" t="s">
        <v>4384</v>
      </c>
      <c r="C4342" s="102" t="s">
        <v>1003</v>
      </c>
    </row>
    <row r="4343" spans="1:3" ht="15">
      <c r="A4343" s="90" t="s">
        <v>254</v>
      </c>
      <c r="B4343" s="89" t="s">
        <v>4385</v>
      </c>
      <c r="C4343" s="102" t="s">
        <v>1003</v>
      </c>
    </row>
    <row r="4344" spans="1:3" ht="15">
      <c r="A4344" s="90" t="s">
        <v>254</v>
      </c>
      <c r="B4344" s="89" t="s">
        <v>3141</v>
      </c>
      <c r="C4344" s="102" t="s">
        <v>1003</v>
      </c>
    </row>
    <row r="4345" spans="1:3" ht="15">
      <c r="A4345" s="90" t="s">
        <v>254</v>
      </c>
      <c r="B4345" s="89" t="s">
        <v>2999</v>
      </c>
      <c r="C4345" s="102" t="s">
        <v>1003</v>
      </c>
    </row>
    <row r="4346" spans="1:3" ht="15">
      <c r="A4346" s="90" t="s">
        <v>253</v>
      </c>
      <c r="B4346" s="89" t="s">
        <v>400</v>
      </c>
      <c r="C4346" s="102" t="s">
        <v>1002</v>
      </c>
    </row>
    <row r="4347" spans="1:3" ht="15">
      <c r="A4347" s="90" t="s">
        <v>253</v>
      </c>
      <c r="B4347" s="89" t="s">
        <v>4386</v>
      </c>
      <c r="C4347" s="102" t="s">
        <v>1002</v>
      </c>
    </row>
    <row r="4348" spans="1:3" ht="15">
      <c r="A4348" s="90" t="s">
        <v>253</v>
      </c>
      <c r="B4348" s="89" t="s">
        <v>3141</v>
      </c>
      <c r="C4348" s="102" t="s">
        <v>1002</v>
      </c>
    </row>
    <row r="4349" spans="1:3" ht="15">
      <c r="A4349" s="90" t="s">
        <v>253</v>
      </c>
      <c r="B4349" s="89" t="s">
        <v>3239</v>
      </c>
      <c r="C4349" s="102" t="s">
        <v>1002</v>
      </c>
    </row>
    <row r="4350" spans="1:3" ht="15">
      <c r="A4350" s="90" t="s">
        <v>253</v>
      </c>
      <c r="B4350" s="89" t="s">
        <v>4387</v>
      </c>
      <c r="C4350" s="102" t="s">
        <v>1002</v>
      </c>
    </row>
    <row r="4351" spans="1:3" ht="15">
      <c r="A4351" s="90" t="s">
        <v>253</v>
      </c>
      <c r="B4351" s="89" t="s">
        <v>3320</v>
      </c>
      <c r="C4351" s="102" t="s">
        <v>1002</v>
      </c>
    </row>
    <row r="4352" spans="1:3" ht="15">
      <c r="A4352" s="90" t="s">
        <v>253</v>
      </c>
      <c r="B4352" s="89" t="s">
        <v>4109</v>
      </c>
      <c r="C4352" s="102" t="s">
        <v>1002</v>
      </c>
    </row>
    <row r="4353" spans="1:3" ht="15">
      <c r="A4353" s="90" t="s">
        <v>253</v>
      </c>
      <c r="B4353" s="89" t="s">
        <v>2937</v>
      </c>
      <c r="C4353" s="102" t="s">
        <v>1002</v>
      </c>
    </row>
    <row r="4354" spans="1:3" ht="15">
      <c r="A4354" s="90" t="s">
        <v>253</v>
      </c>
      <c r="B4354" s="89" t="s">
        <v>2789</v>
      </c>
      <c r="C4354" s="102" t="s">
        <v>1002</v>
      </c>
    </row>
    <row r="4355" spans="1:3" ht="15">
      <c r="A4355" s="90" t="s">
        <v>253</v>
      </c>
      <c r="B4355" s="89" t="s">
        <v>3782</v>
      </c>
      <c r="C4355" s="102" t="s">
        <v>1002</v>
      </c>
    </row>
    <row r="4356" spans="1:3" ht="15">
      <c r="A4356" s="90" t="s">
        <v>253</v>
      </c>
      <c r="B4356" s="89" t="s">
        <v>712</v>
      </c>
      <c r="C4356" s="102" t="s">
        <v>1002</v>
      </c>
    </row>
    <row r="4357" spans="1:3" ht="15">
      <c r="A4357" s="90" t="s">
        <v>253</v>
      </c>
      <c r="B4357" s="89" t="s">
        <v>3732</v>
      </c>
      <c r="C4357" s="102" t="s">
        <v>1002</v>
      </c>
    </row>
    <row r="4358" spans="1:3" ht="15">
      <c r="A4358" s="90" t="s">
        <v>253</v>
      </c>
      <c r="B4358" s="89" t="s">
        <v>4388</v>
      </c>
      <c r="C4358" s="102" t="s">
        <v>1002</v>
      </c>
    </row>
    <row r="4359" spans="1:3" ht="15">
      <c r="A4359" s="90" t="s">
        <v>253</v>
      </c>
      <c r="B4359" s="89" t="s">
        <v>4389</v>
      </c>
      <c r="C4359" s="102" t="s">
        <v>1002</v>
      </c>
    </row>
    <row r="4360" spans="1:3" ht="15">
      <c r="A4360" s="90" t="s">
        <v>253</v>
      </c>
      <c r="B4360" s="89" t="s">
        <v>3323</v>
      </c>
      <c r="C4360" s="102" t="s">
        <v>1002</v>
      </c>
    </row>
    <row r="4361" spans="1:3" ht="15">
      <c r="A4361" s="90" t="s">
        <v>253</v>
      </c>
      <c r="B4361" s="89" t="s">
        <v>4390</v>
      </c>
      <c r="C4361" s="102" t="s">
        <v>1002</v>
      </c>
    </row>
    <row r="4362" spans="1:3" ht="15">
      <c r="A4362" s="90" t="s">
        <v>253</v>
      </c>
      <c r="B4362" s="89" t="s">
        <v>2749</v>
      </c>
      <c r="C4362" s="102" t="s">
        <v>1002</v>
      </c>
    </row>
    <row r="4363" spans="1:3" ht="15">
      <c r="A4363" s="90" t="s">
        <v>253</v>
      </c>
      <c r="B4363" s="89" t="s">
        <v>3304</v>
      </c>
      <c r="C4363" s="102" t="s">
        <v>1002</v>
      </c>
    </row>
    <row r="4364" spans="1:3" ht="15">
      <c r="A4364" s="90" t="s">
        <v>253</v>
      </c>
      <c r="B4364" s="89" t="s">
        <v>3502</v>
      </c>
      <c r="C4364" s="102" t="s">
        <v>1002</v>
      </c>
    </row>
    <row r="4365" spans="1:3" ht="15">
      <c r="A4365" s="90" t="s">
        <v>253</v>
      </c>
      <c r="B4365" s="89" t="s">
        <v>3192</v>
      </c>
      <c r="C4365" s="102" t="s">
        <v>1002</v>
      </c>
    </row>
    <row r="4366" spans="1:3" ht="15">
      <c r="A4366" s="90" t="s">
        <v>253</v>
      </c>
      <c r="B4366" s="89" t="s">
        <v>2843</v>
      </c>
      <c r="C4366" s="102" t="s">
        <v>1002</v>
      </c>
    </row>
    <row r="4367" spans="1:3" ht="15">
      <c r="A4367" s="90" t="s">
        <v>253</v>
      </c>
      <c r="B4367" s="89" t="s">
        <v>4391</v>
      </c>
      <c r="C4367" s="102" t="s">
        <v>1002</v>
      </c>
    </row>
    <row r="4368" spans="1:3" ht="15">
      <c r="A4368" s="90" t="s">
        <v>253</v>
      </c>
      <c r="B4368" s="89" t="s">
        <v>4392</v>
      </c>
      <c r="C4368" s="102" t="s">
        <v>1002</v>
      </c>
    </row>
    <row r="4369" spans="1:3" ht="15">
      <c r="A4369" s="90" t="s">
        <v>253</v>
      </c>
      <c r="B4369" s="89" t="s">
        <v>3302</v>
      </c>
      <c r="C4369" s="102" t="s">
        <v>1002</v>
      </c>
    </row>
    <row r="4370" spans="1:3" ht="15">
      <c r="A4370" s="90" t="s">
        <v>253</v>
      </c>
      <c r="B4370" s="89" t="s">
        <v>3264</v>
      </c>
      <c r="C4370" s="102" t="s">
        <v>1002</v>
      </c>
    </row>
    <row r="4371" spans="1:3" ht="15">
      <c r="A4371" s="90" t="s">
        <v>253</v>
      </c>
      <c r="B4371" s="89" t="s">
        <v>4393</v>
      </c>
      <c r="C4371" s="102" t="s">
        <v>1002</v>
      </c>
    </row>
    <row r="4372" spans="1:3" ht="15">
      <c r="A4372" s="90" t="s">
        <v>253</v>
      </c>
      <c r="B4372" s="89" t="s">
        <v>4394</v>
      </c>
      <c r="C4372" s="102" t="s">
        <v>1002</v>
      </c>
    </row>
    <row r="4373" spans="1:3" ht="15">
      <c r="A4373" s="90" t="s">
        <v>253</v>
      </c>
      <c r="B4373" s="89" t="s">
        <v>4395</v>
      </c>
      <c r="C4373" s="102" t="s">
        <v>1002</v>
      </c>
    </row>
    <row r="4374" spans="1:3" ht="15">
      <c r="A4374" s="90" t="s">
        <v>253</v>
      </c>
      <c r="B4374" s="89" t="s">
        <v>2685</v>
      </c>
      <c r="C4374" s="102" t="s">
        <v>1002</v>
      </c>
    </row>
    <row r="4375" spans="1:3" ht="15">
      <c r="A4375" s="90" t="s">
        <v>253</v>
      </c>
      <c r="B4375" s="89" t="s">
        <v>2807</v>
      </c>
      <c r="C4375" s="102" t="s">
        <v>1002</v>
      </c>
    </row>
    <row r="4376" spans="1:3" ht="15">
      <c r="A4376" s="90" t="s">
        <v>253</v>
      </c>
      <c r="B4376" s="89" t="s">
        <v>4396</v>
      </c>
      <c r="C4376" s="102" t="s">
        <v>1002</v>
      </c>
    </row>
    <row r="4377" spans="1:3" ht="15">
      <c r="A4377" s="90" t="s">
        <v>253</v>
      </c>
      <c r="B4377" s="89" t="s">
        <v>4397</v>
      </c>
      <c r="C4377" s="102" t="s">
        <v>1002</v>
      </c>
    </row>
    <row r="4378" spans="1:3" ht="15">
      <c r="A4378" s="90" t="s">
        <v>253</v>
      </c>
      <c r="B4378" s="89" t="s">
        <v>4398</v>
      </c>
      <c r="C4378" s="102" t="s">
        <v>1002</v>
      </c>
    </row>
    <row r="4379" spans="1:3" ht="15">
      <c r="A4379" s="90" t="s">
        <v>253</v>
      </c>
      <c r="B4379" s="89" t="s">
        <v>4399</v>
      </c>
      <c r="C4379" s="102" t="s">
        <v>1002</v>
      </c>
    </row>
    <row r="4380" spans="1:3" ht="15">
      <c r="A4380" s="90" t="s">
        <v>252</v>
      </c>
      <c r="B4380" s="89" t="s">
        <v>4400</v>
      </c>
      <c r="C4380" s="102" t="s">
        <v>1001</v>
      </c>
    </row>
    <row r="4381" spans="1:3" ht="15">
      <c r="A4381" s="90" t="s">
        <v>252</v>
      </c>
      <c r="B4381" s="89" t="s">
        <v>4401</v>
      </c>
      <c r="C4381" s="102" t="s">
        <v>1001</v>
      </c>
    </row>
    <row r="4382" spans="1:3" ht="15">
      <c r="A4382" s="90" t="s">
        <v>252</v>
      </c>
      <c r="B4382" s="89" t="s">
        <v>4402</v>
      </c>
      <c r="C4382" s="102" t="s">
        <v>1001</v>
      </c>
    </row>
    <row r="4383" spans="1:3" ht="15">
      <c r="A4383" s="90" t="s">
        <v>252</v>
      </c>
      <c r="B4383" s="89" t="s">
        <v>4403</v>
      </c>
      <c r="C4383" s="102" t="s">
        <v>1001</v>
      </c>
    </row>
    <row r="4384" spans="1:3" ht="15">
      <c r="A4384" s="90" t="s">
        <v>252</v>
      </c>
      <c r="B4384" s="89" t="s">
        <v>4404</v>
      </c>
      <c r="C4384" s="102" t="s">
        <v>1001</v>
      </c>
    </row>
    <row r="4385" spans="1:3" ht="15">
      <c r="A4385" s="90" t="s">
        <v>252</v>
      </c>
      <c r="B4385" s="89" t="s">
        <v>4405</v>
      </c>
      <c r="C4385" s="102" t="s">
        <v>1001</v>
      </c>
    </row>
    <row r="4386" spans="1:3" ht="15">
      <c r="A4386" s="90" t="s">
        <v>252</v>
      </c>
      <c r="B4386" s="89" t="s">
        <v>4406</v>
      </c>
      <c r="C4386" s="102" t="s">
        <v>1001</v>
      </c>
    </row>
    <row r="4387" spans="1:3" ht="15">
      <c r="A4387" s="90" t="s">
        <v>252</v>
      </c>
      <c r="B4387" s="89" t="s">
        <v>4407</v>
      </c>
      <c r="C4387" s="102" t="s">
        <v>1001</v>
      </c>
    </row>
    <row r="4388" spans="1:3" ht="15">
      <c r="A4388" s="90" t="s">
        <v>252</v>
      </c>
      <c r="B4388" s="89" t="s">
        <v>2849</v>
      </c>
      <c r="C4388" s="102" t="s">
        <v>1001</v>
      </c>
    </row>
    <row r="4389" spans="1:3" ht="15">
      <c r="A4389" s="90" t="s">
        <v>252</v>
      </c>
      <c r="B4389" s="89" t="s">
        <v>4408</v>
      </c>
      <c r="C4389" s="102" t="s">
        <v>1001</v>
      </c>
    </row>
    <row r="4390" spans="1:3" ht="15">
      <c r="A4390" s="90" t="s">
        <v>252</v>
      </c>
      <c r="B4390" s="89" t="s">
        <v>3217</v>
      </c>
      <c r="C4390" s="102" t="s">
        <v>1001</v>
      </c>
    </row>
    <row r="4391" spans="1:3" ht="15">
      <c r="A4391" s="90" t="s">
        <v>252</v>
      </c>
      <c r="B4391" s="89" t="s">
        <v>4409</v>
      </c>
      <c r="C4391" s="102" t="s">
        <v>1001</v>
      </c>
    </row>
    <row r="4392" spans="1:3" ht="15">
      <c r="A4392" s="90" t="s">
        <v>252</v>
      </c>
      <c r="B4392" s="89" t="s">
        <v>4410</v>
      </c>
      <c r="C4392" s="102" t="s">
        <v>1001</v>
      </c>
    </row>
    <row r="4393" spans="1:3" ht="15">
      <c r="A4393" s="90" t="s">
        <v>252</v>
      </c>
      <c r="B4393" s="89" t="s">
        <v>3261</v>
      </c>
      <c r="C4393" s="102" t="s">
        <v>1001</v>
      </c>
    </row>
    <row r="4394" spans="1:3" ht="15">
      <c r="A4394" s="90" t="s">
        <v>252</v>
      </c>
      <c r="B4394" s="89" t="s">
        <v>3304</v>
      </c>
      <c r="C4394" s="102" t="s">
        <v>1001</v>
      </c>
    </row>
    <row r="4395" spans="1:3" ht="15">
      <c r="A4395" s="90" t="s">
        <v>252</v>
      </c>
      <c r="B4395" s="89" t="s">
        <v>4411</v>
      </c>
      <c r="C4395" s="102" t="s">
        <v>1001</v>
      </c>
    </row>
    <row r="4396" spans="1:3" ht="15">
      <c r="A4396" s="90" t="s">
        <v>252</v>
      </c>
      <c r="B4396" s="89" t="s">
        <v>4412</v>
      </c>
      <c r="C4396" s="102" t="s">
        <v>1001</v>
      </c>
    </row>
    <row r="4397" spans="1:3" ht="15">
      <c r="A4397" s="90" t="s">
        <v>252</v>
      </c>
      <c r="B4397" s="89" t="s">
        <v>4413</v>
      </c>
      <c r="C4397" s="102" t="s">
        <v>1001</v>
      </c>
    </row>
    <row r="4398" spans="1:3" ht="15">
      <c r="A4398" s="90" t="s">
        <v>252</v>
      </c>
      <c r="B4398" s="89" t="s">
        <v>712</v>
      </c>
      <c r="C4398" s="102" t="s">
        <v>1001</v>
      </c>
    </row>
    <row r="4399" spans="1:3" ht="15">
      <c r="A4399" s="90" t="s">
        <v>252</v>
      </c>
      <c r="B4399" s="89" t="s">
        <v>4414</v>
      </c>
      <c r="C4399" s="102" t="s">
        <v>1001</v>
      </c>
    </row>
    <row r="4400" spans="1:3" ht="15">
      <c r="A4400" s="90" t="s">
        <v>252</v>
      </c>
      <c r="B4400" s="89" t="s">
        <v>4415</v>
      </c>
      <c r="C4400" s="102" t="s">
        <v>1001</v>
      </c>
    </row>
    <row r="4401" spans="1:3" ht="15">
      <c r="A4401" s="90" t="s">
        <v>252</v>
      </c>
      <c r="B4401" s="89" t="s">
        <v>4416</v>
      </c>
      <c r="C4401" s="102" t="s">
        <v>1001</v>
      </c>
    </row>
    <row r="4402" spans="1:3" ht="15">
      <c r="A4402" s="90" t="s">
        <v>252</v>
      </c>
      <c r="B4402" s="89" t="s">
        <v>3782</v>
      </c>
      <c r="C4402" s="102" t="s">
        <v>1001</v>
      </c>
    </row>
    <row r="4403" spans="1:3" ht="15">
      <c r="A4403" s="90" t="s">
        <v>252</v>
      </c>
      <c r="B4403" s="89" t="s">
        <v>4417</v>
      </c>
      <c r="C4403" s="102" t="s">
        <v>1001</v>
      </c>
    </row>
    <row r="4404" spans="1:3" ht="15">
      <c r="A4404" s="90" t="s">
        <v>252</v>
      </c>
      <c r="B4404" s="89" t="s">
        <v>4418</v>
      </c>
      <c r="C4404" s="102" t="s">
        <v>1001</v>
      </c>
    </row>
    <row r="4405" spans="1:3" ht="15">
      <c r="A4405" s="90" t="s">
        <v>252</v>
      </c>
      <c r="B4405" s="89" t="s">
        <v>4419</v>
      </c>
      <c r="C4405" s="102" t="s">
        <v>1001</v>
      </c>
    </row>
    <row r="4406" spans="1:3" ht="15">
      <c r="A4406" s="90" t="s">
        <v>252</v>
      </c>
      <c r="B4406" s="89" t="s">
        <v>4420</v>
      </c>
      <c r="C4406" s="102" t="s">
        <v>1001</v>
      </c>
    </row>
    <row r="4407" spans="1:3" ht="15">
      <c r="A4407" s="90" t="s">
        <v>252</v>
      </c>
      <c r="B4407" s="89" t="s">
        <v>2743</v>
      </c>
      <c r="C4407" s="102" t="s">
        <v>1001</v>
      </c>
    </row>
    <row r="4408" spans="1:3" ht="15">
      <c r="A4408" s="90" t="s">
        <v>251</v>
      </c>
      <c r="B4408" s="89" t="s">
        <v>400</v>
      </c>
      <c r="C4408" s="102" t="s">
        <v>1000</v>
      </c>
    </row>
    <row r="4409" spans="1:3" ht="15">
      <c r="A4409" s="90" t="s">
        <v>251</v>
      </c>
      <c r="B4409" s="89" t="s">
        <v>4421</v>
      </c>
      <c r="C4409" s="102" t="s">
        <v>1000</v>
      </c>
    </row>
    <row r="4410" spans="1:3" ht="15">
      <c r="A4410" s="90" t="s">
        <v>251</v>
      </c>
      <c r="B4410" s="89" t="s">
        <v>4422</v>
      </c>
      <c r="C4410" s="102" t="s">
        <v>1000</v>
      </c>
    </row>
    <row r="4411" spans="1:3" ht="15">
      <c r="A4411" s="90" t="s">
        <v>251</v>
      </c>
      <c r="B4411" s="89" t="s">
        <v>4423</v>
      </c>
      <c r="C4411" s="102" t="s">
        <v>1000</v>
      </c>
    </row>
    <row r="4412" spans="1:3" ht="15">
      <c r="A4412" s="90" t="s">
        <v>251</v>
      </c>
      <c r="B4412" s="89" t="s">
        <v>4424</v>
      </c>
      <c r="C4412" s="102" t="s">
        <v>1000</v>
      </c>
    </row>
    <row r="4413" spans="1:3" ht="15">
      <c r="A4413" s="90" t="s">
        <v>251</v>
      </c>
      <c r="B4413" s="89" t="s">
        <v>3263</v>
      </c>
      <c r="C4413" s="102" t="s">
        <v>1000</v>
      </c>
    </row>
    <row r="4414" spans="1:3" ht="15">
      <c r="A4414" s="90" t="s">
        <v>251</v>
      </c>
      <c r="B4414" s="89" t="s">
        <v>3318</v>
      </c>
      <c r="C4414" s="102" t="s">
        <v>1000</v>
      </c>
    </row>
    <row r="4415" spans="1:3" ht="15">
      <c r="A4415" s="90" t="s">
        <v>251</v>
      </c>
      <c r="B4415" s="89" t="s">
        <v>4425</v>
      </c>
      <c r="C4415" s="102" t="s">
        <v>1000</v>
      </c>
    </row>
    <row r="4416" spans="1:3" ht="15">
      <c r="A4416" s="90" t="s">
        <v>251</v>
      </c>
      <c r="B4416" s="89" t="s">
        <v>3137</v>
      </c>
      <c r="C4416" s="102" t="s">
        <v>1000</v>
      </c>
    </row>
    <row r="4417" spans="1:3" ht="15">
      <c r="A4417" s="90" t="s">
        <v>251</v>
      </c>
      <c r="B4417" s="89" t="s">
        <v>4426</v>
      </c>
      <c r="C4417" s="102" t="s">
        <v>1000</v>
      </c>
    </row>
    <row r="4418" spans="1:3" ht="15">
      <c r="A4418" s="90" t="s">
        <v>251</v>
      </c>
      <c r="B4418" s="89" t="s">
        <v>3141</v>
      </c>
      <c r="C4418" s="102" t="s">
        <v>1000</v>
      </c>
    </row>
    <row r="4419" spans="1:3" ht="15">
      <c r="A4419" s="90" t="s">
        <v>251</v>
      </c>
      <c r="B4419" s="89" t="s">
        <v>4427</v>
      </c>
      <c r="C4419" s="102" t="s">
        <v>1000</v>
      </c>
    </row>
    <row r="4420" spans="1:3" ht="15">
      <c r="A4420" s="90" t="s">
        <v>251</v>
      </c>
      <c r="B4420" s="89" t="s">
        <v>4428</v>
      </c>
      <c r="C4420" s="102" t="s">
        <v>1000</v>
      </c>
    </row>
    <row r="4421" spans="1:3" ht="15">
      <c r="A4421" s="90" t="s">
        <v>251</v>
      </c>
      <c r="B4421" s="89" t="s">
        <v>712</v>
      </c>
      <c r="C4421" s="102" t="s">
        <v>1000</v>
      </c>
    </row>
    <row r="4422" spans="1:3" ht="15">
      <c r="A4422" s="90" t="s">
        <v>250</v>
      </c>
      <c r="B4422" s="89" t="s">
        <v>400</v>
      </c>
      <c r="C4422" s="102" t="s">
        <v>999</v>
      </c>
    </row>
    <row r="4423" spans="1:3" ht="15">
      <c r="A4423" s="90" t="s">
        <v>250</v>
      </c>
      <c r="B4423" s="89" t="s">
        <v>4429</v>
      </c>
      <c r="C4423" s="102" t="s">
        <v>999</v>
      </c>
    </row>
    <row r="4424" spans="1:3" ht="15">
      <c r="A4424" s="90" t="s">
        <v>250</v>
      </c>
      <c r="B4424" s="89" t="s">
        <v>3204</v>
      </c>
      <c r="C4424" s="102" t="s">
        <v>999</v>
      </c>
    </row>
    <row r="4425" spans="1:3" ht="15">
      <c r="A4425" s="90" t="s">
        <v>250</v>
      </c>
      <c r="B4425" s="89" t="s">
        <v>3196</v>
      </c>
      <c r="C4425" s="102" t="s">
        <v>999</v>
      </c>
    </row>
    <row r="4426" spans="1:3" ht="15">
      <c r="A4426" s="90" t="s">
        <v>250</v>
      </c>
      <c r="B4426" s="89" t="s">
        <v>4430</v>
      </c>
      <c r="C4426" s="102" t="s">
        <v>999</v>
      </c>
    </row>
    <row r="4427" spans="1:3" ht="15">
      <c r="A4427" s="90" t="s">
        <v>250</v>
      </c>
      <c r="B4427" s="89" t="s">
        <v>3770</v>
      </c>
      <c r="C4427" s="102" t="s">
        <v>999</v>
      </c>
    </row>
    <row r="4428" spans="1:3" ht="15">
      <c r="A4428" s="90" t="s">
        <v>250</v>
      </c>
      <c r="B4428" s="89" t="s">
        <v>3309</v>
      </c>
      <c r="C4428" s="102" t="s">
        <v>999</v>
      </c>
    </row>
    <row r="4429" spans="1:3" ht="15">
      <c r="A4429" s="90" t="s">
        <v>250</v>
      </c>
      <c r="B4429" s="89" t="s">
        <v>2767</v>
      </c>
      <c r="C4429" s="102" t="s">
        <v>999</v>
      </c>
    </row>
    <row r="4430" spans="1:3" ht="15">
      <c r="A4430" s="90" t="s">
        <v>250</v>
      </c>
      <c r="B4430" s="89" t="s">
        <v>4431</v>
      </c>
      <c r="C4430" s="102" t="s">
        <v>999</v>
      </c>
    </row>
    <row r="4431" spans="1:3" ht="15">
      <c r="A4431" s="90" t="s">
        <v>250</v>
      </c>
      <c r="B4431" s="89" t="s">
        <v>3527</v>
      </c>
      <c r="C4431" s="102" t="s">
        <v>999</v>
      </c>
    </row>
    <row r="4432" spans="1:3" ht="15">
      <c r="A4432" s="90" t="s">
        <v>250</v>
      </c>
      <c r="B4432" s="89" t="s">
        <v>3058</v>
      </c>
      <c r="C4432" s="102" t="s">
        <v>999</v>
      </c>
    </row>
    <row r="4433" spans="1:3" ht="15">
      <c r="A4433" s="90" t="s">
        <v>250</v>
      </c>
      <c r="B4433" s="89" t="s">
        <v>4432</v>
      </c>
      <c r="C4433" s="102" t="s">
        <v>999</v>
      </c>
    </row>
    <row r="4434" spans="1:3" ht="15">
      <c r="A4434" s="90" t="s">
        <v>250</v>
      </c>
      <c r="B4434" s="89" t="s">
        <v>2844</v>
      </c>
      <c r="C4434" s="102" t="s">
        <v>999</v>
      </c>
    </row>
    <row r="4435" spans="1:3" ht="15">
      <c r="A4435" s="90" t="s">
        <v>250</v>
      </c>
      <c r="B4435" s="89" t="s">
        <v>3155</v>
      </c>
      <c r="C4435" s="102" t="s">
        <v>999</v>
      </c>
    </row>
    <row r="4436" spans="1:3" ht="15">
      <c r="A4436" s="90" t="s">
        <v>250</v>
      </c>
      <c r="B4436" s="89" t="s">
        <v>4433</v>
      </c>
      <c r="C4436" s="102" t="s">
        <v>999</v>
      </c>
    </row>
    <row r="4437" spans="1:3" ht="15">
      <c r="A4437" s="90" t="s">
        <v>250</v>
      </c>
      <c r="B4437" s="89" t="s">
        <v>3876</v>
      </c>
      <c r="C4437" s="102" t="s">
        <v>999</v>
      </c>
    </row>
    <row r="4438" spans="1:3" ht="15">
      <c r="A4438" s="90" t="s">
        <v>250</v>
      </c>
      <c r="B4438" s="89" t="s">
        <v>4434</v>
      </c>
      <c r="C4438" s="102" t="s">
        <v>999</v>
      </c>
    </row>
    <row r="4439" spans="1:3" ht="15">
      <c r="A4439" s="90" t="s">
        <v>249</v>
      </c>
      <c r="B4439" s="89" t="s">
        <v>4435</v>
      </c>
      <c r="C4439" s="102" t="s">
        <v>998</v>
      </c>
    </row>
    <row r="4440" spans="1:3" ht="15">
      <c r="A4440" s="90" t="s">
        <v>249</v>
      </c>
      <c r="B4440" s="89" t="s">
        <v>4436</v>
      </c>
      <c r="C4440" s="102" t="s">
        <v>998</v>
      </c>
    </row>
    <row r="4441" spans="1:3" ht="15">
      <c r="A4441" s="90" t="s">
        <v>249</v>
      </c>
      <c r="B4441" s="89" t="s">
        <v>4437</v>
      </c>
      <c r="C4441" s="102" t="s">
        <v>998</v>
      </c>
    </row>
    <row r="4442" spans="1:3" ht="15">
      <c r="A4442" s="90" t="s">
        <v>249</v>
      </c>
      <c r="B4442" s="89" t="s">
        <v>399</v>
      </c>
      <c r="C4442" s="102" t="s">
        <v>998</v>
      </c>
    </row>
    <row r="4443" spans="1:3" ht="15">
      <c r="A4443" s="90" t="s">
        <v>249</v>
      </c>
      <c r="B4443" s="89" t="s">
        <v>4438</v>
      </c>
      <c r="C4443" s="102" t="s">
        <v>998</v>
      </c>
    </row>
    <row r="4444" spans="1:3" ht="15">
      <c r="A4444" s="90" t="s">
        <v>249</v>
      </c>
      <c r="B4444" s="89" t="s">
        <v>4439</v>
      </c>
      <c r="C4444" s="102" t="s">
        <v>998</v>
      </c>
    </row>
    <row r="4445" spans="1:3" ht="15">
      <c r="A4445" s="90" t="s">
        <v>249</v>
      </c>
      <c r="B4445" s="89" t="s">
        <v>4440</v>
      </c>
      <c r="C4445" s="102" t="s">
        <v>998</v>
      </c>
    </row>
    <row r="4446" spans="1:3" ht="15">
      <c r="A4446" s="90" t="s">
        <v>249</v>
      </c>
      <c r="B4446" s="89" t="s">
        <v>3155</v>
      </c>
      <c r="C4446" s="102" t="s">
        <v>998</v>
      </c>
    </row>
    <row r="4447" spans="1:3" ht="15">
      <c r="A4447" s="90" t="s">
        <v>249</v>
      </c>
      <c r="B4447" s="89" t="s">
        <v>4441</v>
      </c>
      <c r="C4447" s="102" t="s">
        <v>998</v>
      </c>
    </row>
    <row r="4448" spans="1:3" ht="15">
      <c r="A4448" s="90" t="s">
        <v>249</v>
      </c>
      <c r="B4448" s="89" t="s">
        <v>4442</v>
      </c>
      <c r="C4448" s="102" t="s">
        <v>998</v>
      </c>
    </row>
    <row r="4449" spans="1:3" ht="15">
      <c r="A4449" s="90" t="s">
        <v>249</v>
      </c>
      <c r="B4449" s="89" t="s">
        <v>4251</v>
      </c>
      <c r="C4449" s="102" t="s">
        <v>998</v>
      </c>
    </row>
    <row r="4450" spans="1:3" ht="15">
      <c r="A4450" s="90" t="s">
        <v>249</v>
      </c>
      <c r="B4450" s="89" t="s">
        <v>4443</v>
      </c>
      <c r="C4450" s="102" t="s">
        <v>998</v>
      </c>
    </row>
    <row r="4451" spans="1:3" ht="15">
      <c r="A4451" s="90" t="s">
        <v>249</v>
      </c>
      <c r="B4451" s="89" t="s">
        <v>4444</v>
      </c>
      <c r="C4451" s="102" t="s">
        <v>998</v>
      </c>
    </row>
    <row r="4452" spans="1:3" ht="15">
      <c r="A4452" s="90" t="s">
        <v>249</v>
      </c>
      <c r="B4452" s="89" t="s">
        <v>2903</v>
      </c>
      <c r="C4452" s="102" t="s">
        <v>998</v>
      </c>
    </row>
    <row r="4453" spans="1:3" ht="15">
      <c r="A4453" s="90" t="s">
        <v>249</v>
      </c>
      <c r="B4453" s="89" t="s">
        <v>2685</v>
      </c>
      <c r="C4453" s="102" t="s">
        <v>998</v>
      </c>
    </row>
    <row r="4454" spans="1:3" ht="15">
      <c r="A4454" s="90" t="s">
        <v>249</v>
      </c>
      <c r="B4454" s="89" t="s">
        <v>2977</v>
      </c>
      <c r="C4454" s="102" t="s">
        <v>998</v>
      </c>
    </row>
    <row r="4455" spans="1:3" ht="15">
      <c r="A4455" s="90" t="s">
        <v>249</v>
      </c>
      <c r="B4455" s="89" t="s">
        <v>3141</v>
      </c>
      <c r="C4455" s="102" t="s">
        <v>998</v>
      </c>
    </row>
    <row r="4456" spans="1:3" ht="15">
      <c r="A4456" s="90" t="s">
        <v>249</v>
      </c>
      <c r="B4456" s="89" t="s">
        <v>4445</v>
      </c>
      <c r="C4456" s="102" t="s">
        <v>998</v>
      </c>
    </row>
    <row r="4457" spans="1:3" ht="15">
      <c r="A4457" s="90" t="s">
        <v>249</v>
      </c>
      <c r="B4457" s="89" t="s">
        <v>3153</v>
      </c>
      <c r="C4457" s="102" t="s">
        <v>998</v>
      </c>
    </row>
    <row r="4458" spans="1:3" ht="15">
      <c r="A4458" s="90" t="s">
        <v>249</v>
      </c>
      <c r="B4458" s="89" t="s">
        <v>2961</v>
      </c>
      <c r="C4458" s="102" t="s">
        <v>998</v>
      </c>
    </row>
    <row r="4459" spans="1:3" ht="15">
      <c r="A4459" s="90" t="s">
        <v>249</v>
      </c>
      <c r="B4459" s="89" t="s">
        <v>4446</v>
      </c>
      <c r="C4459" s="102" t="s">
        <v>998</v>
      </c>
    </row>
    <row r="4460" spans="1:3" ht="15">
      <c r="A4460" s="90" t="s">
        <v>249</v>
      </c>
      <c r="B4460" s="89" t="s">
        <v>4447</v>
      </c>
      <c r="C4460" s="102" t="s">
        <v>998</v>
      </c>
    </row>
    <row r="4461" spans="1:3" ht="15">
      <c r="A4461" s="90" t="s">
        <v>249</v>
      </c>
      <c r="B4461" s="89" t="s">
        <v>4388</v>
      </c>
      <c r="C4461" s="102" t="s">
        <v>998</v>
      </c>
    </row>
    <row r="4462" spans="1:3" ht="15">
      <c r="A4462" s="90" t="s">
        <v>249</v>
      </c>
      <c r="B4462" s="89" t="s">
        <v>3165</v>
      </c>
      <c r="C4462" s="102" t="s">
        <v>998</v>
      </c>
    </row>
    <row r="4463" spans="1:3" ht="15">
      <c r="A4463" s="90" t="s">
        <v>249</v>
      </c>
      <c r="B4463" s="89" t="s">
        <v>2849</v>
      </c>
      <c r="C4463" s="102" t="s">
        <v>998</v>
      </c>
    </row>
    <row r="4464" spans="1:3" ht="15">
      <c r="A4464" s="90" t="s">
        <v>249</v>
      </c>
      <c r="B4464" s="89" t="s">
        <v>2890</v>
      </c>
      <c r="C4464" s="102" t="s">
        <v>998</v>
      </c>
    </row>
    <row r="4465" spans="1:3" ht="15">
      <c r="A4465" s="90" t="s">
        <v>249</v>
      </c>
      <c r="B4465" s="89" t="s">
        <v>3784</v>
      </c>
      <c r="C4465" s="102" t="s">
        <v>998</v>
      </c>
    </row>
    <row r="4466" spans="1:3" ht="15">
      <c r="A4466" s="90" t="s">
        <v>249</v>
      </c>
      <c r="B4466" s="89" t="s">
        <v>4448</v>
      </c>
      <c r="C4466" s="102" t="s">
        <v>998</v>
      </c>
    </row>
    <row r="4467" spans="1:3" ht="15">
      <c r="A4467" s="90" t="s">
        <v>249</v>
      </c>
      <c r="B4467" s="89" t="s">
        <v>3692</v>
      </c>
      <c r="C4467" s="102" t="s">
        <v>998</v>
      </c>
    </row>
    <row r="4468" spans="1:3" ht="15">
      <c r="A4468" s="90" t="s">
        <v>249</v>
      </c>
      <c r="B4468" s="89" t="s">
        <v>4449</v>
      </c>
      <c r="C4468" s="102" t="s">
        <v>998</v>
      </c>
    </row>
    <row r="4469" spans="1:3" ht="15">
      <c r="A4469" s="90" t="s">
        <v>249</v>
      </c>
      <c r="B4469" s="89" t="s">
        <v>4450</v>
      </c>
      <c r="C4469" s="102" t="s">
        <v>998</v>
      </c>
    </row>
    <row r="4470" spans="1:3" ht="15">
      <c r="A4470" s="90" t="s">
        <v>249</v>
      </c>
      <c r="B4470" s="89" t="s">
        <v>3475</v>
      </c>
      <c r="C4470" s="102" t="s">
        <v>998</v>
      </c>
    </row>
    <row r="4471" spans="1:3" ht="15">
      <c r="A4471" s="90" t="s">
        <v>249</v>
      </c>
      <c r="B4471" s="89" t="s">
        <v>4451</v>
      </c>
      <c r="C4471" s="102" t="s">
        <v>998</v>
      </c>
    </row>
    <row r="4472" spans="1:3" ht="15">
      <c r="A4472" s="90" t="s">
        <v>249</v>
      </c>
      <c r="B4472" s="89" t="s">
        <v>4452</v>
      </c>
      <c r="C4472" s="102" t="s">
        <v>998</v>
      </c>
    </row>
    <row r="4473" spans="1:3" ht="15">
      <c r="A4473" s="90" t="s">
        <v>249</v>
      </c>
      <c r="B4473" s="89" t="s">
        <v>712</v>
      </c>
      <c r="C4473" s="102" t="s">
        <v>998</v>
      </c>
    </row>
    <row r="4474" spans="1:3" ht="15">
      <c r="A4474" s="90" t="s">
        <v>249</v>
      </c>
      <c r="B4474" s="89" t="s">
        <v>3303</v>
      </c>
      <c r="C4474" s="102" t="s">
        <v>998</v>
      </c>
    </row>
    <row r="4475" spans="1:3" ht="15">
      <c r="A4475" s="90" t="s">
        <v>249</v>
      </c>
      <c r="B4475" s="89" t="s">
        <v>2681</v>
      </c>
      <c r="C4475" s="102" t="s">
        <v>998</v>
      </c>
    </row>
    <row r="4476" spans="1:3" ht="15">
      <c r="A4476" s="90" t="s">
        <v>249</v>
      </c>
      <c r="B4476" s="89" t="s">
        <v>4437</v>
      </c>
      <c r="C4476" s="102" t="s">
        <v>997</v>
      </c>
    </row>
    <row r="4477" spans="1:3" ht="15">
      <c r="A4477" s="90" t="s">
        <v>249</v>
      </c>
      <c r="B4477" s="89" t="s">
        <v>399</v>
      </c>
      <c r="C4477" s="102" t="s">
        <v>997</v>
      </c>
    </row>
    <row r="4478" spans="1:3" ht="15">
      <c r="A4478" s="90" t="s">
        <v>249</v>
      </c>
      <c r="B4478" s="89" t="s">
        <v>4435</v>
      </c>
      <c r="C4478" s="102" t="s">
        <v>997</v>
      </c>
    </row>
    <row r="4479" spans="1:3" ht="15">
      <c r="A4479" s="90" t="s">
        <v>249</v>
      </c>
      <c r="B4479" s="89" t="s">
        <v>4438</v>
      </c>
      <c r="C4479" s="102" t="s">
        <v>997</v>
      </c>
    </row>
    <row r="4480" spans="1:3" ht="15">
      <c r="A4480" s="90" t="s">
        <v>249</v>
      </c>
      <c r="B4480" s="89" t="s">
        <v>4436</v>
      </c>
      <c r="C4480" s="102" t="s">
        <v>997</v>
      </c>
    </row>
    <row r="4481" spans="1:3" ht="15">
      <c r="A4481" s="90" t="s">
        <v>249</v>
      </c>
      <c r="B4481" s="89" t="s">
        <v>4439</v>
      </c>
      <c r="C4481" s="102" t="s">
        <v>997</v>
      </c>
    </row>
    <row r="4482" spans="1:3" ht="15">
      <c r="A4482" s="90" t="s">
        <v>249</v>
      </c>
      <c r="B4482" s="89" t="s">
        <v>3204</v>
      </c>
      <c r="C4482" s="102" t="s">
        <v>997</v>
      </c>
    </row>
    <row r="4483" spans="1:3" ht="15">
      <c r="A4483" s="90" t="s">
        <v>249</v>
      </c>
      <c r="B4483" s="89" t="s">
        <v>3155</v>
      </c>
      <c r="C4483" s="102" t="s">
        <v>997</v>
      </c>
    </row>
    <row r="4484" spans="1:3" ht="15">
      <c r="A4484" s="90" t="s">
        <v>249</v>
      </c>
      <c r="B4484" s="89" t="s">
        <v>3309</v>
      </c>
      <c r="C4484" s="102" t="s">
        <v>997</v>
      </c>
    </row>
    <row r="4485" spans="1:3" ht="15">
      <c r="A4485" s="90" t="s">
        <v>249</v>
      </c>
      <c r="B4485" s="89" t="s">
        <v>4453</v>
      </c>
      <c r="C4485" s="102" t="s">
        <v>997</v>
      </c>
    </row>
    <row r="4486" spans="1:3" ht="15">
      <c r="A4486" s="90" t="s">
        <v>249</v>
      </c>
      <c r="B4486" s="89" t="s">
        <v>3783</v>
      </c>
      <c r="C4486" s="102" t="s">
        <v>997</v>
      </c>
    </row>
    <row r="4487" spans="1:3" ht="15">
      <c r="A4487" s="90" t="s">
        <v>249</v>
      </c>
      <c r="B4487" s="89" t="s">
        <v>2898</v>
      </c>
      <c r="C4487" s="102" t="s">
        <v>997</v>
      </c>
    </row>
    <row r="4488" spans="1:3" ht="15">
      <c r="A4488" s="90" t="s">
        <v>249</v>
      </c>
      <c r="B4488" s="89" t="s">
        <v>4454</v>
      </c>
      <c r="C4488" s="102" t="s">
        <v>997</v>
      </c>
    </row>
    <row r="4489" spans="1:3" ht="15">
      <c r="A4489" s="90" t="s">
        <v>249</v>
      </c>
      <c r="B4489" s="89" t="s">
        <v>3059</v>
      </c>
      <c r="C4489" s="102" t="s">
        <v>997</v>
      </c>
    </row>
    <row r="4490" spans="1:3" ht="15">
      <c r="A4490" s="90" t="s">
        <v>249</v>
      </c>
      <c r="B4490" s="89" t="s">
        <v>3356</v>
      </c>
      <c r="C4490" s="102" t="s">
        <v>997</v>
      </c>
    </row>
    <row r="4491" spans="1:3" ht="15">
      <c r="A4491" s="90" t="s">
        <v>249</v>
      </c>
      <c r="B4491" s="89" t="s">
        <v>4455</v>
      </c>
      <c r="C4491" s="102" t="s">
        <v>997</v>
      </c>
    </row>
    <row r="4492" spans="1:3" ht="15">
      <c r="A4492" s="90" t="s">
        <v>249</v>
      </c>
      <c r="B4492" s="89" t="s">
        <v>4456</v>
      </c>
      <c r="C4492" s="102" t="s">
        <v>997</v>
      </c>
    </row>
    <row r="4493" spans="1:3" ht="15">
      <c r="A4493" s="90" t="s">
        <v>249</v>
      </c>
      <c r="B4493" s="89" t="s">
        <v>4457</v>
      </c>
      <c r="C4493" s="102" t="s">
        <v>997</v>
      </c>
    </row>
    <row r="4494" spans="1:3" ht="15">
      <c r="A4494" s="90" t="s">
        <v>249</v>
      </c>
      <c r="B4494" s="89" t="s">
        <v>2763</v>
      </c>
      <c r="C4494" s="102" t="s">
        <v>997</v>
      </c>
    </row>
    <row r="4495" spans="1:3" ht="15">
      <c r="A4495" s="90" t="s">
        <v>249</v>
      </c>
      <c r="B4495" s="89" t="s">
        <v>4444</v>
      </c>
      <c r="C4495" s="102" t="s">
        <v>997</v>
      </c>
    </row>
    <row r="4496" spans="1:3" ht="15">
      <c r="A4496" s="90" t="s">
        <v>249</v>
      </c>
      <c r="B4496" s="89" t="s">
        <v>2708</v>
      </c>
      <c r="C4496" s="102" t="s">
        <v>997</v>
      </c>
    </row>
    <row r="4497" spans="1:3" ht="15">
      <c r="A4497" s="90" t="s">
        <v>249</v>
      </c>
      <c r="B4497" s="89" t="s">
        <v>4458</v>
      </c>
      <c r="C4497" s="102" t="s">
        <v>997</v>
      </c>
    </row>
    <row r="4498" spans="1:3" ht="15">
      <c r="A4498" s="90" t="s">
        <v>249</v>
      </c>
      <c r="B4498" s="89" t="s">
        <v>4459</v>
      </c>
      <c r="C4498" s="102" t="s">
        <v>997</v>
      </c>
    </row>
    <row r="4499" spans="1:3" ht="15">
      <c r="A4499" s="90" t="s">
        <v>249</v>
      </c>
      <c r="B4499" s="89" t="s">
        <v>3378</v>
      </c>
      <c r="C4499" s="102" t="s">
        <v>997</v>
      </c>
    </row>
    <row r="4500" spans="1:3" ht="15">
      <c r="A4500" s="90" t="s">
        <v>249</v>
      </c>
      <c r="B4500" s="89" t="s">
        <v>3759</v>
      </c>
      <c r="C4500" s="102" t="s">
        <v>997</v>
      </c>
    </row>
    <row r="4501" spans="1:3" ht="15">
      <c r="A4501" s="90" t="s">
        <v>249</v>
      </c>
      <c r="B4501" s="89" t="s">
        <v>2738</v>
      </c>
      <c r="C4501" s="102" t="s">
        <v>997</v>
      </c>
    </row>
    <row r="4502" spans="1:3" ht="15">
      <c r="A4502" s="90" t="s">
        <v>249</v>
      </c>
      <c r="B4502" s="89" t="s">
        <v>2681</v>
      </c>
      <c r="C4502" s="102" t="s">
        <v>997</v>
      </c>
    </row>
    <row r="4503" spans="1:3" ht="15">
      <c r="A4503" s="90" t="s">
        <v>249</v>
      </c>
      <c r="B4503" s="89" t="s">
        <v>4460</v>
      </c>
      <c r="C4503" s="102" t="s">
        <v>997</v>
      </c>
    </row>
    <row r="4504" spans="1:3" ht="15">
      <c r="A4504" s="90" t="s">
        <v>249</v>
      </c>
      <c r="B4504" s="89" t="s">
        <v>3782</v>
      </c>
      <c r="C4504" s="102" t="s">
        <v>997</v>
      </c>
    </row>
    <row r="4505" spans="1:3" ht="15">
      <c r="A4505" s="90" t="s">
        <v>249</v>
      </c>
      <c r="B4505" s="89" t="s">
        <v>2785</v>
      </c>
      <c r="C4505" s="102" t="s">
        <v>997</v>
      </c>
    </row>
    <row r="4506" spans="1:3" ht="15">
      <c r="A4506" s="90" t="s">
        <v>248</v>
      </c>
      <c r="B4506" s="89" t="s">
        <v>249</v>
      </c>
      <c r="C4506" s="102" t="s">
        <v>996</v>
      </c>
    </row>
    <row r="4507" spans="1:3" ht="15">
      <c r="A4507" s="90" t="s">
        <v>248</v>
      </c>
      <c r="B4507" s="89" t="s">
        <v>399</v>
      </c>
      <c r="C4507" s="102" t="s">
        <v>996</v>
      </c>
    </row>
    <row r="4508" spans="1:3" ht="15">
      <c r="A4508" s="90" t="s">
        <v>248</v>
      </c>
      <c r="B4508" s="89" t="s">
        <v>4435</v>
      </c>
      <c r="C4508" s="102" t="s">
        <v>996</v>
      </c>
    </row>
    <row r="4509" spans="1:3" ht="15">
      <c r="A4509" s="90" t="s">
        <v>248</v>
      </c>
      <c r="B4509" s="89" t="s">
        <v>4438</v>
      </c>
      <c r="C4509" s="102" t="s">
        <v>996</v>
      </c>
    </row>
    <row r="4510" spans="1:3" ht="15">
      <c r="A4510" s="90" t="s">
        <v>248</v>
      </c>
      <c r="B4510" s="89" t="s">
        <v>4436</v>
      </c>
      <c r="C4510" s="102" t="s">
        <v>996</v>
      </c>
    </row>
    <row r="4511" spans="1:3" ht="15">
      <c r="A4511" s="90" t="s">
        <v>248</v>
      </c>
      <c r="B4511" s="89" t="s">
        <v>4439</v>
      </c>
      <c r="C4511" s="102" t="s">
        <v>996</v>
      </c>
    </row>
    <row r="4512" spans="1:3" ht="15">
      <c r="A4512" s="90" t="s">
        <v>248</v>
      </c>
      <c r="B4512" s="89" t="s">
        <v>3301</v>
      </c>
      <c r="C4512" s="102" t="s">
        <v>996</v>
      </c>
    </row>
    <row r="4513" spans="1:3" ht="15">
      <c r="A4513" s="90" t="s">
        <v>248</v>
      </c>
      <c r="B4513" s="89" t="s">
        <v>3263</v>
      </c>
      <c r="C4513" s="102" t="s">
        <v>996</v>
      </c>
    </row>
    <row r="4514" spans="1:3" ht="15">
      <c r="A4514" s="90" t="s">
        <v>248</v>
      </c>
      <c r="B4514" s="89" t="s">
        <v>4461</v>
      </c>
      <c r="C4514" s="102" t="s">
        <v>996</v>
      </c>
    </row>
    <row r="4515" spans="1:3" ht="15">
      <c r="A4515" s="90" t="s">
        <v>248</v>
      </c>
      <c r="B4515" s="89" t="s">
        <v>3304</v>
      </c>
      <c r="C4515" s="102" t="s">
        <v>996</v>
      </c>
    </row>
    <row r="4516" spans="1:3" ht="15">
      <c r="A4516" s="90" t="s">
        <v>248</v>
      </c>
      <c r="B4516" s="89" t="s">
        <v>4462</v>
      </c>
      <c r="C4516" s="102" t="s">
        <v>996</v>
      </c>
    </row>
    <row r="4517" spans="1:3" ht="15">
      <c r="A4517" s="90" t="s">
        <v>248</v>
      </c>
      <c r="B4517" s="89" t="s">
        <v>4463</v>
      </c>
      <c r="C4517" s="102" t="s">
        <v>996</v>
      </c>
    </row>
    <row r="4518" spans="1:3" ht="15">
      <c r="A4518" s="90" t="s">
        <v>248</v>
      </c>
      <c r="B4518" s="89" t="s">
        <v>3299</v>
      </c>
      <c r="C4518" s="102" t="s">
        <v>996</v>
      </c>
    </row>
    <row r="4519" spans="1:3" ht="15">
      <c r="A4519" s="90" t="s">
        <v>248</v>
      </c>
      <c r="B4519" s="89" t="s">
        <v>4464</v>
      </c>
      <c r="C4519" s="102" t="s">
        <v>996</v>
      </c>
    </row>
    <row r="4520" spans="1:3" ht="15">
      <c r="A4520" s="90" t="s">
        <v>248</v>
      </c>
      <c r="B4520" s="89" t="s">
        <v>4465</v>
      </c>
      <c r="C4520" s="102" t="s">
        <v>996</v>
      </c>
    </row>
    <row r="4521" spans="1:3" ht="15">
      <c r="A4521" s="90" t="s">
        <v>248</v>
      </c>
      <c r="B4521" s="89" t="s">
        <v>2769</v>
      </c>
      <c r="C4521" s="102" t="s">
        <v>996</v>
      </c>
    </row>
    <row r="4522" spans="1:3" ht="15">
      <c r="A4522" s="90" t="s">
        <v>248</v>
      </c>
      <c r="B4522" s="89" t="s">
        <v>4466</v>
      </c>
      <c r="C4522" s="102" t="s">
        <v>996</v>
      </c>
    </row>
    <row r="4523" spans="1:3" ht="15">
      <c r="A4523" s="90" t="s">
        <v>248</v>
      </c>
      <c r="B4523" s="89" t="s">
        <v>3061</v>
      </c>
      <c r="C4523" s="102" t="s">
        <v>996</v>
      </c>
    </row>
    <row r="4524" spans="1:3" ht="15">
      <c r="A4524" s="90" t="s">
        <v>248</v>
      </c>
      <c r="B4524" s="89" t="s">
        <v>4467</v>
      </c>
      <c r="C4524" s="102" t="s">
        <v>996</v>
      </c>
    </row>
    <row r="4525" spans="1:3" ht="15">
      <c r="A4525" s="90" t="s">
        <v>248</v>
      </c>
      <c r="B4525" s="89" t="s">
        <v>3378</v>
      </c>
      <c r="C4525" s="102" t="s">
        <v>996</v>
      </c>
    </row>
    <row r="4526" spans="1:3" ht="15">
      <c r="A4526" s="90" t="s">
        <v>248</v>
      </c>
      <c r="B4526" s="89" t="s">
        <v>2669</v>
      </c>
      <c r="C4526" s="102" t="s">
        <v>996</v>
      </c>
    </row>
    <row r="4527" spans="1:3" ht="15">
      <c r="A4527" s="90" t="s">
        <v>248</v>
      </c>
      <c r="B4527" s="89" t="s">
        <v>2670</v>
      </c>
      <c r="C4527" s="102" t="s">
        <v>996</v>
      </c>
    </row>
    <row r="4528" spans="1:3" ht="15">
      <c r="A4528" s="90" t="s">
        <v>248</v>
      </c>
      <c r="B4528" s="89" t="s">
        <v>3169</v>
      </c>
      <c r="C4528" s="102" t="s">
        <v>996</v>
      </c>
    </row>
    <row r="4529" spans="1:3" ht="15">
      <c r="A4529" s="90" t="s">
        <v>248</v>
      </c>
      <c r="B4529" s="89" t="s">
        <v>4468</v>
      </c>
      <c r="C4529" s="102" t="s">
        <v>996</v>
      </c>
    </row>
    <row r="4530" spans="1:3" ht="15">
      <c r="A4530" s="90" t="s">
        <v>248</v>
      </c>
      <c r="B4530" s="89" t="s">
        <v>4469</v>
      </c>
      <c r="C4530" s="102" t="s">
        <v>996</v>
      </c>
    </row>
    <row r="4531" spans="1:3" ht="15">
      <c r="A4531" s="90" t="s">
        <v>248</v>
      </c>
      <c r="B4531" s="89" t="s">
        <v>4470</v>
      </c>
      <c r="C4531" s="102" t="s">
        <v>996</v>
      </c>
    </row>
    <row r="4532" spans="1:3" ht="15">
      <c r="A4532" s="90" t="s">
        <v>248</v>
      </c>
      <c r="B4532" s="89" t="s">
        <v>4471</v>
      </c>
      <c r="C4532" s="102" t="s">
        <v>996</v>
      </c>
    </row>
    <row r="4533" spans="1:3" ht="15">
      <c r="A4533" s="90" t="s">
        <v>248</v>
      </c>
      <c r="B4533" s="89" t="s">
        <v>3630</v>
      </c>
      <c r="C4533" s="102" t="s">
        <v>996</v>
      </c>
    </row>
    <row r="4534" spans="1:3" ht="15">
      <c r="A4534" s="90" t="s">
        <v>248</v>
      </c>
      <c r="B4534" s="89" t="s">
        <v>712</v>
      </c>
      <c r="C4534" s="102" t="s">
        <v>996</v>
      </c>
    </row>
    <row r="4535" spans="1:3" ht="15">
      <c r="A4535" s="90" t="s">
        <v>248</v>
      </c>
      <c r="B4535" s="89" t="s">
        <v>399</v>
      </c>
      <c r="C4535" s="102" t="s">
        <v>995</v>
      </c>
    </row>
    <row r="4536" spans="1:3" ht="15">
      <c r="A4536" s="90" t="s">
        <v>248</v>
      </c>
      <c r="B4536" s="89" t="s">
        <v>4435</v>
      </c>
      <c r="C4536" s="102" t="s">
        <v>995</v>
      </c>
    </row>
    <row r="4537" spans="1:3" ht="15">
      <c r="A4537" s="90" t="s">
        <v>248</v>
      </c>
      <c r="B4537" s="89" t="s">
        <v>4438</v>
      </c>
      <c r="C4537" s="102" t="s">
        <v>995</v>
      </c>
    </row>
    <row r="4538" spans="1:3" ht="15">
      <c r="A4538" s="90" t="s">
        <v>248</v>
      </c>
      <c r="B4538" s="89" t="s">
        <v>4436</v>
      </c>
      <c r="C4538" s="102" t="s">
        <v>995</v>
      </c>
    </row>
    <row r="4539" spans="1:3" ht="15">
      <c r="A4539" s="90" t="s">
        <v>248</v>
      </c>
      <c r="B4539" s="89" t="s">
        <v>249</v>
      </c>
      <c r="C4539" s="102" t="s">
        <v>995</v>
      </c>
    </row>
    <row r="4540" spans="1:3" ht="15">
      <c r="A4540" s="90" t="s">
        <v>248</v>
      </c>
      <c r="B4540" s="89" t="s">
        <v>4439</v>
      </c>
      <c r="C4540" s="102" t="s">
        <v>995</v>
      </c>
    </row>
    <row r="4541" spans="1:3" ht="15">
      <c r="A4541" s="90" t="s">
        <v>248</v>
      </c>
      <c r="B4541" s="89" t="s">
        <v>4472</v>
      </c>
      <c r="C4541" s="102" t="s">
        <v>995</v>
      </c>
    </row>
    <row r="4542" spans="1:3" ht="15">
      <c r="A4542" s="90" t="s">
        <v>248</v>
      </c>
      <c r="B4542" s="89" t="s">
        <v>3538</v>
      </c>
      <c r="C4542" s="102" t="s">
        <v>995</v>
      </c>
    </row>
    <row r="4543" spans="1:3" ht="15">
      <c r="A4543" s="90" t="s">
        <v>248</v>
      </c>
      <c r="B4543" s="89" t="s">
        <v>4473</v>
      </c>
      <c r="C4543" s="102" t="s">
        <v>995</v>
      </c>
    </row>
    <row r="4544" spans="1:3" ht="15">
      <c r="A4544" s="90" t="s">
        <v>248</v>
      </c>
      <c r="B4544" s="89" t="s">
        <v>4474</v>
      </c>
      <c r="C4544" s="102" t="s">
        <v>995</v>
      </c>
    </row>
    <row r="4545" spans="1:3" ht="15">
      <c r="A4545" s="90" t="s">
        <v>248</v>
      </c>
      <c r="B4545" s="89" t="s">
        <v>4475</v>
      </c>
      <c r="C4545" s="102" t="s">
        <v>995</v>
      </c>
    </row>
    <row r="4546" spans="1:3" ht="15">
      <c r="A4546" s="90" t="s">
        <v>248</v>
      </c>
      <c r="B4546" s="89" t="s">
        <v>3137</v>
      </c>
      <c r="C4546" s="102" t="s">
        <v>995</v>
      </c>
    </row>
    <row r="4547" spans="1:3" ht="15">
      <c r="A4547" s="90" t="s">
        <v>248</v>
      </c>
      <c r="B4547" s="89" t="s">
        <v>2718</v>
      </c>
      <c r="C4547" s="102" t="s">
        <v>995</v>
      </c>
    </row>
    <row r="4548" spans="1:3" ht="15">
      <c r="A4548" s="90" t="s">
        <v>248</v>
      </c>
      <c r="B4548" s="89" t="s">
        <v>4476</v>
      </c>
      <c r="C4548" s="102" t="s">
        <v>995</v>
      </c>
    </row>
    <row r="4549" spans="1:3" ht="15">
      <c r="A4549" s="90" t="s">
        <v>248</v>
      </c>
      <c r="B4549" s="89" t="s">
        <v>3158</v>
      </c>
      <c r="C4549" s="102" t="s">
        <v>995</v>
      </c>
    </row>
    <row r="4550" spans="1:3" ht="15">
      <c r="A4550" s="90" t="s">
        <v>248</v>
      </c>
      <c r="B4550" s="89" t="s">
        <v>3490</v>
      </c>
      <c r="C4550" s="102" t="s">
        <v>995</v>
      </c>
    </row>
    <row r="4551" spans="1:3" ht="15">
      <c r="A4551" s="90" t="s">
        <v>248</v>
      </c>
      <c r="B4551" s="89" t="s">
        <v>3141</v>
      </c>
      <c r="C4551" s="102" t="s">
        <v>995</v>
      </c>
    </row>
    <row r="4552" spans="1:3" ht="15">
      <c r="A4552" s="90" t="s">
        <v>248</v>
      </c>
      <c r="B4552" s="89" t="s">
        <v>4477</v>
      </c>
      <c r="C4552" s="102" t="s">
        <v>995</v>
      </c>
    </row>
    <row r="4553" spans="1:3" ht="15">
      <c r="A4553" s="90" t="s">
        <v>248</v>
      </c>
      <c r="B4553" s="89" t="s">
        <v>3502</v>
      </c>
      <c r="C4553" s="102" t="s">
        <v>995</v>
      </c>
    </row>
    <row r="4554" spans="1:3" ht="15">
      <c r="A4554" s="90" t="s">
        <v>248</v>
      </c>
      <c r="B4554" s="89" t="s">
        <v>4478</v>
      </c>
      <c r="C4554" s="102" t="s">
        <v>995</v>
      </c>
    </row>
    <row r="4555" spans="1:3" ht="15">
      <c r="A4555" s="90" t="s">
        <v>248</v>
      </c>
      <c r="B4555" s="89" t="s">
        <v>3378</v>
      </c>
      <c r="C4555" s="102" t="s">
        <v>995</v>
      </c>
    </row>
    <row r="4556" spans="1:3" ht="15">
      <c r="A4556" s="90" t="s">
        <v>248</v>
      </c>
      <c r="B4556" s="89" t="s">
        <v>4479</v>
      </c>
      <c r="C4556" s="102" t="s">
        <v>995</v>
      </c>
    </row>
    <row r="4557" spans="1:3" ht="15">
      <c r="A4557" s="90" t="s">
        <v>248</v>
      </c>
      <c r="B4557" s="89" t="s">
        <v>4480</v>
      </c>
      <c r="C4557" s="102" t="s">
        <v>995</v>
      </c>
    </row>
    <row r="4558" spans="1:3" ht="15">
      <c r="A4558" s="90" t="s">
        <v>248</v>
      </c>
      <c r="B4558" s="89" t="s">
        <v>712</v>
      </c>
      <c r="C4558" s="102" t="s">
        <v>995</v>
      </c>
    </row>
    <row r="4559" spans="1:3" ht="15">
      <c r="A4559" s="90" t="s">
        <v>247</v>
      </c>
      <c r="B4559" s="89" t="s">
        <v>4481</v>
      </c>
      <c r="C4559" s="102" t="s">
        <v>993</v>
      </c>
    </row>
    <row r="4560" spans="1:3" ht="15">
      <c r="A4560" s="90" t="s">
        <v>247</v>
      </c>
      <c r="B4560" s="89" t="s">
        <v>4482</v>
      </c>
      <c r="C4560" s="102" t="s">
        <v>993</v>
      </c>
    </row>
    <row r="4561" spans="1:3" ht="15">
      <c r="A4561" s="90" t="s">
        <v>247</v>
      </c>
      <c r="B4561" s="89" t="s">
        <v>4483</v>
      </c>
      <c r="C4561" s="102" t="s">
        <v>993</v>
      </c>
    </row>
    <row r="4562" spans="1:3" ht="15">
      <c r="A4562" s="90" t="s">
        <v>247</v>
      </c>
      <c r="B4562" s="89" t="s">
        <v>3368</v>
      </c>
      <c r="C4562" s="102" t="s">
        <v>993</v>
      </c>
    </row>
    <row r="4563" spans="1:3" ht="15">
      <c r="A4563" s="90" t="s">
        <v>247</v>
      </c>
      <c r="B4563" s="89" t="s">
        <v>2811</v>
      </c>
      <c r="C4563" s="102" t="s">
        <v>993</v>
      </c>
    </row>
    <row r="4564" spans="1:3" ht="15">
      <c r="A4564" s="90" t="s">
        <v>247</v>
      </c>
      <c r="B4564" s="89" t="s">
        <v>4484</v>
      </c>
      <c r="C4564" s="102" t="s">
        <v>993</v>
      </c>
    </row>
    <row r="4565" spans="1:3" ht="15">
      <c r="A4565" s="90" t="s">
        <v>247</v>
      </c>
      <c r="B4565" s="89" t="s">
        <v>3137</v>
      </c>
      <c r="C4565" s="102" t="s">
        <v>993</v>
      </c>
    </row>
    <row r="4566" spans="1:3" ht="15">
      <c r="A4566" s="90" t="s">
        <v>247</v>
      </c>
      <c r="B4566" s="89" t="s">
        <v>4485</v>
      </c>
      <c r="C4566" s="102" t="s">
        <v>993</v>
      </c>
    </row>
    <row r="4567" spans="1:3" ht="15">
      <c r="A4567" s="90" t="s">
        <v>247</v>
      </c>
      <c r="B4567" s="89" t="s">
        <v>4486</v>
      </c>
      <c r="C4567" s="102" t="s">
        <v>993</v>
      </c>
    </row>
    <row r="4568" spans="1:3" ht="15">
      <c r="A4568" s="90" t="s">
        <v>247</v>
      </c>
      <c r="B4568" s="89" t="s">
        <v>4487</v>
      </c>
      <c r="C4568" s="102" t="s">
        <v>993</v>
      </c>
    </row>
    <row r="4569" spans="1:3" ht="15">
      <c r="A4569" s="90" t="s">
        <v>247</v>
      </c>
      <c r="B4569" s="89" t="s">
        <v>3152</v>
      </c>
      <c r="C4569" s="102" t="s">
        <v>993</v>
      </c>
    </row>
    <row r="4570" spans="1:3" ht="15">
      <c r="A4570" s="90" t="s">
        <v>247</v>
      </c>
      <c r="B4570" s="89" t="s">
        <v>3141</v>
      </c>
      <c r="C4570" s="102" t="s">
        <v>993</v>
      </c>
    </row>
    <row r="4571" spans="1:3" ht="15">
      <c r="A4571" s="90" t="s">
        <v>247</v>
      </c>
      <c r="B4571" s="89" t="s">
        <v>4488</v>
      </c>
      <c r="C4571" s="102" t="s">
        <v>993</v>
      </c>
    </row>
    <row r="4572" spans="1:3" ht="15">
      <c r="A4572" s="90" t="s">
        <v>247</v>
      </c>
      <c r="B4572" s="89" t="s">
        <v>4489</v>
      </c>
      <c r="C4572" s="102" t="s">
        <v>993</v>
      </c>
    </row>
    <row r="4573" spans="1:3" ht="15">
      <c r="A4573" s="90" t="s">
        <v>247</v>
      </c>
      <c r="B4573" s="89" t="s">
        <v>3767</v>
      </c>
      <c r="C4573" s="102" t="s">
        <v>993</v>
      </c>
    </row>
    <row r="4574" spans="1:3" ht="15">
      <c r="A4574" s="90" t="s">
        <v>247</v>
      </c>
      <c r="B4574" s="89" t="s">
        <v>4490</v>
      </c>
      <c r="C4574" s="102" t="s">
        <v>993</v>
      </c>
    </row>
    <row r="4575" spans="1:3" ht="15">
      <c r="A4575" s="90" t="s">
        <v>247</v>
      </c>
      <c r="B4575" s="89" t="s">
        <v>712</v>
      </c>
      <c r="C4575" s="102" t="s">
        <v>993</v>
      </c>
    </row>
    <row r="4576" spans="1:3" ht="15">
      <c r="A4576" s="90" t="s">
        <v>247</v>
      </c>
      <c r="B4576" s="89" t="s">
        <v>4491</v>
      </c>
      <c r="C4576" s="102" t="s">
        <v>993</v>
      </c>
    </row>
    <row r="4577" spans="1:3" ht="15">
      <c r="A4577" s="90" t="s">
        <v>247</v>
      </c>
      <c r="B4577" s="89" t="s">
        <v>4492</v>
      </c>
      <c r="C4577" s="102" t="s">
        <v>993</v>
      </c>
    </row>
    <row r="4578" spans="1:3" ht="15">
      <c r="A4578" s="90" t="s">
        <v>246</v>
      </c>
      <c r="B4578" s="89" t="s">
        <v>393</v>
      </c>
      <c r="C4578" s="102" t="s">
        <v>992</v>
      </c>
    </row>
    <row r="4579" spans="1:3" ht="15">
      <c r="A4579" s="90" t="s">
        <v>246</v>
      </c>
      <c r="B4579" s="89" t="s">
        <v>4362</v>
      </c>
      <c r="C4579" s="102" t="s">
        <v>992</v>
      </c>
    </row>
    <row r="4580" spans="1:3" ht="15">
      <c r="A4580" s="90" t="s">
        <v>246</v>
      </c>
      <c r="B4580" s="89" t="s">
        <v>4493</v>
      </c>
      <c r="C4580" s="102" t="s">
        <v>992</v>
      </c>
    </row>
    <row r="4581" spans="1:3" ht="15">
      <c r="A4581" s="90" t="s">
        <v>246</v>
      </c>
      <c r="B4581" s="89" t="s">
        <v>3299</v>
      </c>
      <c r="C4581" s="102" t="s">
        <v>992</v>
      </c>
    </row>
    <row r="4582" spans="1:3" ht="15">
      <c r="A4582" s="90" t="s">
        <v>246</v>
      </c>
      <c r="B4582" s="89" t="s">
        <v>3141</v>
      </c>
      <c r="C4582" s="102" t="s">
        <v>992</v>
      </c>
    </row>
    <row r="4583" spans="1:3" ht="15">
      <c r="A4583" s="90" t="s">
        <v>246</v>
      </c>
      <c r="B4583" s="89" t="s">
        <v>3063</v>
      </c>
      <c r="C4583" s="102" t="s">
        <v>992</v>
      </c>
    </row>
    <row r="4584" spans="1:3" ht="15">
      <c r="A4584" s="90" t="s">
        <v>246</v>
      </c>
      <c r="B4584" s="89" t="s">
        <v>3239</v>
      </c>
      <c r="C4584" s="102" t="s">
        <v>992</v>
      </c>
    </row>
    <row r="4585" spans="1:3" ht="15">
      <c r="A4585" s="90" t="s">
        <v>246</v>
      </c>
      <c r="B4585" s="89" t="s">
        <v>3347</v>
      </c>
      <c r="C4585" s="102" t="s">
        <v>992</v>
      </c>
    </row>
    <row r="4586" spans="1:3" ht="15">
      <c r="A4586" s="90" t="s">
        <v>246</v>
      </c>
      <c r="B4586" s="89" t="s">
        <v>3137</v>
      </c>
      <c r="C4586" s="102" t="s">
        <v>992</v>
      </c>
    </row>
    <row r="4587" spans="1:3" ht="15">
      <c r="A4587" s="90" t="s">
        <v>246</v>
      </c>
      <c r="B4587" s="89" t="s">
        <v>2866</v>
      </c>
      <c r="C4587" s="102" t="s">
        <v>992</v>
      </c>
    </row>
    <row r="4588" spans="1:3" ht="15">
      <c r="A4588" s="90" t="s">
        <v>246</v>
      </c>
      <c r="B4588" s="89" t="s">
        <v>3671</v>
      </c>
      <c r="C4588" s="102" t="s">
        <v>992</v>
      </c>
    </row>
    <row r="4589" spans="1:3" ht="15">
      <c r="A4589" s="90" t="s">
        <v>246</v>
      </c>
      <c r="B4589" s="89" t="s">
        <v>3064</v>
      </c>
      <c r="C4589" s="102" t="s">
        <v>992</v>
      </c>
    </row>
    <row r="4590" spans="1:3" ht="15">
      <c r="A4590" s="90" t="s">
        <v>246</v>
      </c>
      <c r="B4590" s="89" t="s">
        <v>2661</v>
      </c>
      <c r="C4590" s="102" t="s">
        <v>992</v>
      </c>
    </row>
    <row r="4591" spans="1:3" ht="15">
      <c r="A4591" s="90" t="s">
        <v>246</v>
      </c>
      <c r="B4591" s="89" t="s">
        <v>2716</v>
      </c>
      <c r="C4591" s="102" t="s">
        <v>992</v>
      </c>
    </row>
    <row r="4592" spans="1:3" ht="15">
      <c r="A4592" s="90" t="s">
        <v>246</v>
      </c>
      <c r="B4592" s="89" t="s">
        <v>2839</v>
      </c>
      <c r="C4592" s="102" t="s">
        <v>992</v>
      </c>
    </row>
    <row r="4593" spans="1:3" ht="15">
      <c r="A4593" s="90" t="s">
        <v>246</v>
      </c>
      <c r="B4593" s="89" t="s">
        <v>3065</v>
      </c>
      <c r="C4593" s="102" t="s">
        <v>992</v>
      </c>
    </row>
    <row r="4594" spans="1:3" ht="15">
      <c r="A4594" s="90" t="s">
        <v>246</v>
      </c>
      <c r="B4594" s="89" t="s">
        <v>4494</v>
      </c>
      <c r="C4594" s="102" t="s">
        <v>992</v>
      </c>
    </row>
    <row r="4595" spans="1:3" ht="15">
      <c r="A4595" s="90" t="s">
        <v>246</v>
      </c>
      <c r="B4595" s="89" t="s">
        <v>3204</v>
      </c>
      <c r="C4595" s="102" t="s">
        <v>992</v>
      </c>
    </row>
    <row r="4596" spans="1:3" ht="15">
      <c r="A4596" s="90" t="s">
        <v>246</v>
      </c>
      <c r="B4596" s="89" t="s">
        <v>2777</v>
      </c>
      <c r="C4596" s="102" t="s">
        <v>992</v>
      </c>
    </row>
    <row r="4597" spans="1:3" ht="15">
      <c r="A4597" s="90" t="s">
        <v>246</v>
      </c>
      <c r="B4597" s="89" t="s">
        <v>3066</v>
      </c>
      <c r="C4597" s="102" t="s">
        <v>992</v>
      </c>
    </row>
    <row r="4598" spans="1:3" ht="15">
      <c r="A4598" s="90" t="s">
        <v>246</v>
      </c>
      <c r="B4598" s="89" t="s">
        <v>2789</v>
      </c>
      <c r="C4598" s="102" t="s">
        <v>992</v>
      </c>
    </row>
    <row r="4599" spans="1:3" ht="15">
      <c r="A4599" s="90" t="s">
        <v>246</v>
      </c>
      <c r="B4599" s="89" t="s">
        <v>3522</v>
      </c>
      <c r="C4599" s="102" t="s">
        <v>992</v>
      </c>
    </row>
    <row r="4600" spans="1:3" ht="15">
      <c r="A4600" s="90" t="s">
        <v>246</v>
      </c>
      <c r="B4600" s="89" t="s">
        <v>3782</v>
      </c>
      <c r="C4600" s="102" t="s">
        <v>992</v>
      </c>
    </row>
    <row r="4601" spans="1:3" ht="15">
      <c r="A4601" s="90" t="s">
        <v>246</v>
      </c>
      <c r="B4601" s="89" t="s">
        <v>3067</v>
      </c>
      <c r="C4601" s="102" t="s">
        <v>992</v>
      </c>
    </row>
    <row r="4602" spans="1:3" ht="15">
      <c r="A4602" s="90" t="s">
        <v>246</v>
      </c>
      <c r="B4602" s="89" t="s">
        <v>3068</v>
      </c>
      <c r="C4602" s="102" t="s">
        <v>992</v>
      </c>
    </row>
    <row r="4603" spans="1:3" ht="15">
      <c r="A4603" s="90" t="s">
        <v>246</v>
      </c>
      <c r="B4603" s="89" t="s">
        <v>3874</v>
      </c>
      <c r="C4603" s="102" t="s">
        <v>992</v>
      </c>
    </row>
    <row r="4604" spans="1:3" ht="15">
      <c r="A4604" s="90" t="s">
        <v>245</v>
      </c>
      <c r="B4604" s="89" t="s">
        <v>393</v>
      </c>
      <c r="C4604" s="102" t="s">
        <v>991</v>
      </c>
    </row>
    <row r="4605" spans="1:3" ht="15">
      <c r="A4605" s="90" t="s">
        <v>245</v>
      </c>
      <c r="B4605" s="89" t="s">
        <v>4362</v>
      </c>
      <c r="C4605" s="102" t="s">
        <v>991</v>
      </c>
    </row>
    <row r="4606" spans="1:3" ht="15">
      <c r="A4606" s="90" t="s">
        <v>245</v>
      </c>
      <c r="B4606" s="89" t="s">
        <v>4493</v>
      </c>
      <c r="C4606" s="102" t="s">
        <v>991</v>
      </c>
    </row>
    <row r="4607" spans="1:3" ht="15">
      <c r="A4607" s="90" t="s">
        <v>245</v>
      </c>
      <c r="B4607" s="89" t="s">
        <v>3299</v>
      </c>
      <c r="C4607" s="102" t="s">
        <v>991</v>
      </c>
    </row>
    <row r="4608" spans="1:3" ht="15">
      <c r="A4608" s="90" t="s">
        <v>245</v>
      </c>
      <c r="B4608" s="89" t="s">
        <v>3141</v>
      </c>
      <c r="C4608" s="102" t="s">
        <v>991</v>
      </c>
    </row>
    <row r="4609" spans="1:3" ht="15">
      <c r="A4609" s="90" t="s">
        <v>245</v>
      </c>
      <c r="B4609" s="89" t="s">
        <v>3063</v>
      </c>
      <c r="C4609" s="102" t="s">
        <v>991</v>
      </c>
    </row>
    <row r="4610" spans="1:3" ht="15">
      <c r="A4610" s="90" t="s">
        <v>245</v>
      </c>
      <c r="B4610" s="89" t="s">
        <v>3239</v>
      </c>
      <c r="C4610" s="102" t="s">
        <v>991</v>
      </c>
    </row>
    <row r="4611" spans="1:3" ht="15">
      <c r="A4611" s="90" t="s">
        <v>245</v>
      </c>
      <c r="B4611" s="89" t="s">
        <v>3347</v>
      </c>
      <c r="C4611" s="102" t="s">
        <v>991</v>
      </c>
    </row>
    <row r="4612" spans="1:3" ht="15">
      <c r="A4612" s="90" t="s">
        <v>245</v>
      </c>
      <c r="B4612" s="89" t="s">
        <v>3137</v>
      </c>
      <c r="C4612" s="102" t="s">
        <v>991</v>
      </c>
    </row>
    <row r="4613" spans="1:3" ht="15">
      <c r="A4613" s="90" t="s">
        <v>245</v>
      </c>
      <c r="B4613" s="89" t="s">
        <v>2866</v>
      </c>
      <c r="C4613" s="102" t="s">
        <v>991</v>
      </c>
    </row>
    <row r="4614" spans="1:3" ht="15">
      <c r="A4614" s="90" t="s">
        <v>245</v>
      </c>
      <c r="B4614" s="89" t="s">
        <v>3671</v>
      </c>
      <c r="C4614" s="102" t="s">
        <v>991</v>
      </c>
    </row>
    <row r="4615" spans="1:3" ht="15">
      <c r="A4615" s="90" t="s">
        <v>245</v>
      </c>
      <c r="B4615" s="89" t="s">
        <v>3064</v>
      </c>
      <c r="C4615" s="102" t="s">
        <v>991</v>
      </c>
    </row>
    <row r="4616" spans="1:3" ht="15">
      <c r="A4616" s="90" t="s">
        <v>245</v>
      </c>
      <c r="B4616" s="89" t="s">
        <v>2661</v>
      </c>
      <c r="C4616" s="102" t="s">
        <v>991</v>
      </c>
    </row>
    <row r="4617" spans="1:3" ht="15">
      <c r="A4617" s="90" t="s">
        <v>245</v>
      </c>
      <c r="B4617" s="89" t="s">
        <v>2716</v>
      </c>
      <c r="C4617" s="102" t="s">
        <v>991</v>
      </c>
    </row>
    <row r="4618" spans="1:3" ht="15">
      <c r="A4618" s="90" t="s">
        <v>245</v>
      </c>
      <c r="B4618" s="89" t="s">
        <v>2839</v>
      </c>
      <c r="C4618" s="102" t="s">
        <v>991</v>
      </c>
    </row>
    <row r="4619" spans="1:3" ht="15">
      <c r="A4619" s="90" t="s">
        <v>245</v>
      </c>
      <c r="B4619" s="89" t="s">
        <v>3065</v>
      </c>
      <c r="C4619" s="102" t="s">
        <v>991</v>
      </c>
    </row>
    <row r="4620" spans="1:3" ht="15">
      <c r="A4620" s="90" t="s">
        <v>245</v>
      </c>
      <c r="B4620" s="89" t="s">
        <v>4494</v>
      </c>
      <c r="C4620" s="102" t="s">
        <v>991</v>
      </c>
    </row>
    <row r="4621" spans="1:3" ht="15">
      <c r="A4621" s="90" t="s">
        <v>245</v>
      </c>
      <c r="B4621" s="89" t="s">
        <v>3204</v>
      </c>
      <c r="C4621" s="102" t="s">
        <v>991</v>
      </c>
    </row>
    <row r="4622" spans="1:3" ht="15">
      <c r="A4622" s="90" t="s">
        <v>245</v>
      </c>
      <c r="B4622" s="89" t="s">
        <v>2777</v>
      </c>
      <c r="C4622" s="102" t="s">
        <v>991</v>
      </c>
    </row>
    <row r="4623" spans="1:3" ht="15">
      <c r="A4623" s="90" t="s">
        <v>245</v>
      </c>
      <c r="B4623" s="89" t="s">
        <v>3066</v>
      </c>
      <c r="C4623" s="102" t="s">
        <v>991</v>
      </c>
    </row>
    <row r="4624" spans="1:3" ht="15">
      <c r="A4624" s="90" t="s">
        <v>245</v>
      </c>
      <c r="B4624" s="89" t="s">
        <v>2789</v>
      </c>
      <c r="C4624" s="102" t="s">
        <v>991</v>
      </c>
    </row>
    <row r="4625" spans="1:3" ht="15">
      <c r="A4625" s="90" t="s">
        <v>245</v>
      </c>
      <c r="B4625" s="89" t="s">
        <v>3522</v>
      </c>
      <c r="C4625" s="102" t="s">
        <v>991</v>
      </c>
    </row>
    <row r="4626" spans="1:3" ht="15">
      <c r="A4626" s="90" t="s">
        <v>245</v>
      </c>
      <c r="B4626" s="89" t="s">
        <v>3782</v>
      </c>
      <c r="C4626" s="102" t="s">
        <v>991</v>
      </c>
    </row>
    <row r="4627" spans="1:3" ht="15">
      <c r="A4627" s="90" t="s">
        <v>245</v>
      </c>
      <c r="B4627" s="89" t="s">
        <v>3067</v>
      </c>
      <c r="C4627" s="102" t="s">
        <v>991</v>
      </c>
    </row>
    <row r="4628" spans="1:3" ht="15">
      <c r="A4628" s="90" t="s">
        <v>245</v>
      </c>
      <c r="B4628" s="89" t="s">
        <v>3068</v>
      </c>
      <c r="C4628" s="102" t="s">
        <v>991</v>
      </c>
    </row>
    <row r="4629" spans="1:3" ht="15">
      <c r="A4629" s="90" t="s">
        <v>245</v>
      </c>
      <c r="B4629" s="89" t="s">
        <v>3874</v>
      </c>
      <c r="C4629" s="102" t="s">
        <v>991</v>
      </c>
    </row>
    <row r="4630" spans="1:3" ht="15">
      <c r="A4630" s="90" t="s">
        <v>244</v>
      </c>
      <c r="B4630" s="89" t="s">
        <v>4495</v>
      </c>
      <c r="C4630" s="102" t="s">
        <v>990</v>
      </c>
    </row>
    <row r="4631" spans="1:3" ht="15">
      <c r="A4631" s="90" t="s">
        <v>244</v>
      </c>
      <c r="B4631" s="89" t="s">
        <v>3732</v>
      </c>
      <c r="C4631" s="102" t="s">
        <v>990</v>
      </c>
    </row>
    <row r="4632" spans="1:3" ht="15">
      <c r="A4632" s="90" t="s">
        <v>244</v>
      </c>
      <c r="B4632" s="89" t="s">
        <v>2958</v>
      </c>
      <c r="C4632" s="102" t="s">
        <v>990</v>
      </c>
    </row>
    <row r="4633" spans="1:3" ht="15">
      <c r="A4633" s="90" t="s">
        <v>244</v>
      </c>
      <c r="B4633" s="89" t="s">
        <v>4496</v>
      </c>
      <c r="C4633" s="102" t="s">
        <v>990</v>
      </c>
    </row>
    <row r="4634" spans="1:3" ht="15">
      <c r="A4634" s="90" t="s">
        <v>244</v>
      </c>
      <c r="B4634" s="89" t="s">
        <v>3155</v>
      </c>
      <c r="C4634" s="102" t="s">
        <v>990</v>
      </c>
    </row>
    <row r="4635" spans="1:3" ht="15">
      <c r="A4635" s="90" t="s">
        <v>244</v>
      </c>
      <c r="B4635" s="89" t="s">
        <v>3368</v>
      </c>
      <c r="C4635" s="102" t="s">
        <v>990</v>
      </c>
    </row>
    <row r="4636" spans="1:3" ht="15">
      <c r="A4636" s="90" t="s">
        <v>244</v>
      </c>
      <c r="B4636" s="89" t="s">
        <v>3782</v>
      </c>
      <c r="C4636" s="102" t="s">
        <v>990</v>
      </c>
    </row>
    <row r="4637" spans="1:3" ht="15">
      <c r="A4637" s="90" t="s">
        <v>244</v>
      </c>
      <c r="B4637" s="89" t="s">
        <v>3818</v>
      </c>
      <c r="C4637" s="102" t="s">
        <v>990</v>
      </c>
    </row>
    <row r="4638" spans="1:3" ht="15">
      <c r="A4638" s="90" t="s">
        <v>244</v>
      </c>
      <c r="B4638" s="89" t="s">
        <v>3867</v>
      </c>
      <c r="C4638" s="102" t="s">
        <v>990</v>
      </c>
    </row>
    <row r="4639" spans="1:3" ht="15">
      <c r="A4639" s="90" t="s">
        <v>244</v>
      </c>
      <c r="B4639" s="89" t="s">
        <v>3173</v>
      </c>
      <c r="C4639" s="102" t="s">
        <v>990</v>
      </c>
    </row>
    <row r="4640" spans="1:3" ht="15">
      <c r="A4640" s="90" t="s">
        <v>244</v>
      </c>
      <c r="B4640" s="89" t="s">
        <v>3052</v>
      </c>
      <c r="C4640" s="102" t="s">
        <v>990</v>
      </c>
    </row>
    <row r="4641" spans="1:3" ht="15">
      <c r="A4641" s="90" t="s">
        <v>244</v>
      </c>
      <c r="B4641" s="89" t="s">
        <v>3165</v>
      </c>
      <c r="C4641" s="102" t="s">
        <v>990</v>
      </c>
    </row>
    <row r="4642" spans="1:3" ht="15">
      <c r="A4642" s="90" t="s">
        <v>244</v>
      </c>
      <c r="B4642" s="89" t="s">
        <v>4497</v>
      </c>
      <c r="C4642" s="102" t="s">
        <v>990</v>
      </c>
    </row>
    <row r="4643" spans="1:3" ht="15">
      <c r="A4643" s="90" t="s">
        <v>244</v>
      </c>
      <c r="B4643" s="89" t="s">
        <v>4498</v>
      </c>
      <c r="C4643" s="102" t="s">
        <v>990</v>
      </c>
    </row>
    <row r="4644" spans="1:3" ht="15">
      <c r="A4644" s="90" t="s">
        <v>244</v>
      </c>
      <c r="B4644" s="89" t="s">
        <v>3196</v>
      </c>
      <c r="C4644" s="102" t="s">
        <v>990</v>
      </c>
    </row>
    <row r="4645" spans="1:3" ht="15">
      <c r="A4645" s="90" t="s">
        <v>244</v>
      </c>
      <c r="B4645" s="89" t="s">
        <v>2791</v>
      </c>
      <c r="C4645" s="102" t="s">
        <v>990</v>
      </c>
    </row>
    <row r="4646" spans="1:3" ht="15">
      <c r="A4646" s="90" t="s">
        <v>244</v>
      </c>
      <c r="B4646" s="89" t="s">
        <v>4499</v>
      </c>
      <c r="C4646" s="102" t="s">
        <v>990</v>
      </c>
    </row>
    <row r="4647" spans="1:3" ht="15">
      <c r="A4647" s="90" t="s">
        <v>244</v>
      </c>
      <c r="B4647" s="89" t="s">
        <v>4500</v>
      </c>
      <c r="C4647" s="102" t="s">
        <v>990</v>
      </c>
    </row>
    <row r="4648" spans="1:3" ht="15">
      <c r="A4648" s="90" t="s">
        <v>244</v>
      </c>
      <c r="B4648" s="89" t="s">
        <v>4501</v>
      </c>
      <c r="C4648" s="102" t="s">
        <v>990</v>
      </c>
    </row>
    <row r="4649" spans="1:3" ht="15">
      <c r="A4649" s="90" t="s">
        <v>244</v>
      </c>
      <c r="B4649" s="89" t="s">
        <v>3301</v>
      </c>
      <c r="C4649" s="102" t="s">
        <v>990</v>
      </c>
    </row>
    <row r="4650" spans="1:3" ht="15">
      <c r="A4650" s="90" t="s">
        <v>244</v>
      </c>
      <c r="B4650" s="89" t="s">
        <v>3069</v>
      </c>
      <c r="C4650" s="102" t="s">
        <v>990</v>
      </c>
    </row>
    <row r="4651" spans="1:3" ht="15">
      <c r="A4651" s="90" t="s">
        <v>244</v>
      </c>
      <c r="B4651" s="89" t="s">
        <v>3179</v>
      </c>
      <c r="C4651" s="102" t="s">
        <v>990</v>
      </c>
    </row>
    <row r="4652" spans="1:3" ht="15">
      <c r="A4652" s="90" t="s">
        <v>244</v>
      </c>
      <c r="B4652" s="89" t="s">
        <v>3141</v>
      </c>
      <c r="C4652" s="102" t="s">
        <v>990</v>
      </c>
    </row>
    <row r="4653" spans="1:3" ht="15">
      <c r="A4653" s="90" t="s">
        <v>244</v>
      </c>
      <c r="B4653" s="89" t="s">
        <v>2766</v>
      </c>
      <c r="C4653" s="102" t="s">
        <v>990</v>
      </c>
    </row>
    <row r="4654" spans="1:3" ht="15">
      <c r="A4654" s="90" t="s">
        <v>244</v>
      </c>
      <c r="B4654" s="89" t="s">
        <v>4502</v>
      </c>
      <c r="C4654" s="102" t="s">
        <v>990</v>
      </c>
    </row>
    <row r="4655" spans="1:3" ht="15">
      <c r="A4655" s="90" t="s">
        <v>244</v>
      </c>
      <c r="B4655" s="89" t="s">
        <v>712</v>
      </c>
      <c r="C4655" s="102" t="s">
        <v>990</v>
      </c>
    </row>
    <row r="4656" spans="1:3" ht="15">
      <c r="A4656" s="90" t="s">
        <v>244</v>
      </c>
      <c r="B4656" s="89" t="s">
        <v>3334</v>
      </c>
      <c r="C4656" s="102" t="s">
        <v>990</v>
      </c>
    </row>
    <row r="4657" spans="1:3" ht="15">
      <c r="A4657" s="90" t="s">
        <v>244</v>
      </c>
      <c r="B4657" s="89" t="s">
        <v>2834</v>
      </c>
      <c r="C4657" s="102" t="s">
        <v>990</v>
      </c>
    </row>
    <row r="4658" spans="1:3" ht="15">
      <c r="A4658" s="90" t="s">
        <v>244</v>
      </c>
      <c r="B4658" s="89" t="s">
        <v>3284</v>
      </c>
      <c r="C4658" s="102" t="s">
        <v>990</v>
      </c>
    </row>
    <row r="4659" spans="1:3" ht="15">
      <c r="A4659" s="90" t="s">
        <v>244</v>
      </c>
      <c r="B4659" s="89" t="s">
        <v>4503</v>
      </c>
      <c r="C4659" s="102" t="s">
        <v>990</v>
      </c>
    </row>
    <row r="4660" spans="1:3" ht="15">
      <c r="A4660" s="90" t="s">
        <v>244</v>
      </c>
      <c r="B4660" s="89" t="s">
        <v>3161</v>
      </c>
      <c r="C4660" s="102" t="s">
        <v>990</v>
      </c>
    </row>
    <row r="4661" spans="1:3" ht="15">
      <c r="A4661" s="90" t="s">
        <v>244</v>
      </c>
      <c r="B4661" s="89" t="s">
        <v>2944</v>
      </c>
      <c r="C4661" s="102" t="s">
        <v>990</v>
      </c>
    </row>
    <row r="4662" spans="1:3" ht="15">
      <c r="A4662" s="90" t="s">
        <v>244</v>
      </c>
      <c r="B4662" s="89" t="s">
        <v>3304</v>
      </c>
      <c r="C4662" s="102" t="s">
        <v>990</v>
      </c>
    </row>
    <row r="4663" spans="1:3" ht="15">
      <c r="A4663" s="90" t="s">
        <v>244</v>
      </c>
      <c r="B4663" s="89" t="s">
        <v>4504</v>
      </c>
      <c r="C4663" s="102" t="s">
        <v>990</v>
      </c>
    </row>
    <row r="4664" spans="1:3" ht="15">
      <c r="A4664" s="90" t="s">
        <v>244</v>
      </c>
      <c r="B4664" s="89" t="s">
        <v>3293</v>
      </c>
      <c r="C4664" s="102" t="s">
        <v>990</v>
      </c>
    </row>
    <row r="4665" spans="1:3" ht="15">
      <c r="A4665" s="90" t="s">
        <v>244</v>
      </c>
      <c r="B4665" s="89" t="s">
        <v>4505</v>
      </c>
      <c r="C4665" s="102" t="s">
        <v>990</v>
      </c>
    </row>
    <row r="4666" spans="1:3" ht="15">
      <c r="A4666" s="90" t="s">
        <v>244</v>
      </c>
      <c r="B4666" s="89" t="s">
        <v>4506</v>
      </c>
      <c r="C4666" s="102" t="s">
        <v>990</v>
      </c>
    </row>
    <row r="4667" spans="1:3" ht="15">
      <c r="A4667" s="90" t="s">
        <v>244</v>
      </c>
      <c r="B4667" s="89" t="s">
        <v>4507</v>
      </c>
      <c r="C4667" s="102" t="s">
        <v>990</v>
      </c>
    </row>
    <row r="4668" spans="1:3" ht="15">
      <c r="A4668" s="90" t="s">
        <v>244</v>
      </c>
      <c r="B4668" s="89" t="s">
        <v>4508</v>
      </c>
      <c r="C4668" s="102" t="s">
        <v>990</v>
      </c>
    </row>
    <row r="4669" spans="1:3" ht="15">
      <c r="A4669" s="90" t="s">
        <v>244</v>
      </c>
      <c r="B4669" s="89" t="s">
        <v>4509</v>
      </c>
      <c r="C4669" s="102" t="s">
        <v>990</v>
      </c>
    </row>
    <row r="4670" spans="1:3" ht="15">
      <c r="A4670" s="90" t="s">
        <v>374</v>
      </c>
      <c r="B4670" s="89" t="s">
        <v>3204</v>
      </c>
      <c r="C4670" s="102" t="s">
        <v>1218</v>
      </c>
    </row>
    <row r="4671" spans="1:3" ht="15">
      <c r="A4671" s="90" t="s">
        <v>374</v>
      </c>
      <c r="B4671" s="89" t="s">
        <v>2661</v>
      </c>
      <c r="C4671" s="102" t="s">
        <v>1218</v>
      </c>
    </row>
    <row r="4672" spans="1:3" ht="15">
      <c r="A4672" s="90" t="s">
        <v>374</v>
      </c>
      <c r="B4672" s="89" t="s">
        <v>3205</v>
      </c>
      <c r="C4672" s="102" t="s">
        <v>1218</v>
      </c>
    </row>
    <row r="4673" spans="1:3" ht="15">
      <c r="A4673" s="90" t="s">
        <v>374</v>
      </c>
      <c r="B4673" s="89" t="s">
        <v>3206</v>
      </c>
      <c r="C4673" s="102" t="s">
        <v>1218</v>
      </c>
    </row>
    <row r="4674" spans="1:3" ht="15">
      <c r="A4674" s="90" t="s">
        <v>374</v>
      </c>
      <c r="B4674" s="89" t="s">
        <v>3207</v>
      </c>
      <c r="C4674" s="102" t="s">
        <v>1218</v>
      </c>
    </row>
    <row r="4675" spans="1:3" ht="15">
      <c r="A4675" s="90" t="s">
        <v>374</v>
      </c>
      <c r="B4675" s="89" t="s">
        <v>2683</v>
      </c>
      <c r="C4675" s="102" t="s">
        <v>1218</v>
      </c>
    </row>
    <row r="4676" spans="1:3" ht="15">
      <c r="A4676" s="90" t="s">
        <v>374</v>
      </c>
      <c r="B4676" s="89" t="s">
        <v>3909</v>
      </c>
      <c r="C4676" s="102" t="s">
        <v>1217</v>
      </c>
    </row>
    <row r="4677" spans="1:3" ht="15">
      <c r="A4677" s="90" t="s">
        <v>374</v>
      </c>
      <c r="B4677" s="89" t="s">
        <v>3475</v>
      </c>
      <c r="C4677" s="102" t="s">
        <v>1217</v>
      </c>
    </row>
    <row r="4678" spans="1:3" ht="15">
      <c r="A4678" s="90" t="s">
        <v>374</v>
      </c>
      <c r="B4678" s="89" t="s">
        <v>2877</v>
      </c>
      <c r="C4678" s="102" t="s">
        <v>1217</v>
      </c>
    </row>
    <row r="4679" spans="1:3" ht="15">
      <c r="A4679" s="90" t="s">
        <v>374</v>
      </c>
      <c r="B4679" s="89" t="s">
        <v>2714</v>
      </c>
      <c r="C4679" s="102" t="s">
        <v>1217</v>
      </c>
    </row>
    <row r="4680" spans="1:3" ht="15">
      <c r="A4680" s="90" t="s">
        <v>374</v>
      </c>
      <c r="B4680" s="89" t="s">
        <v>2878</v>
      </c>
      <c r="C4680" s="102" t="s">
        <v>1217</v>
      </c>
    </row>
    <row r="4681" spans="1:3" ht="15">
      <c r="A4681" s="90" t="s">
        <v>374</v>
      </c>
      <c r="B4681" s="89" t="s">
        <v>2879</v>
      </c>
      <c r="C4681" s="102" t="s">
        <v>1217</v>
      </c>
    </row>
    <row r="4682" spans="1:3" ht="15">
      <c r="A4682" s="90" t="s">
        <v>374</v>
      </c>
      <c r="B4682" s="89" t="s">
        <v>2880</v>
      </c>
      <c r="C4682" s="102" t="s">
        <v>1217</v>
      </c>
    </row>
    <row r="4683" spans="1:3" ht="15">
      <c r="A4683" s="90" t="s">
        <v>374</v>
      </c>
      <c r="B4683" s="89" t="s">
        <v>3137</v>
      </c>
      <c r="C4683" s="102" t="s">
        <v>1217</v>
      </c>
    </row>
    <row r="4684" spans="1:3" ht="15">
      <c r="A4684" s="90" t="s">
        <v>374</v>
      </c>
      <c r="B4684" s="89" t="s">
        <v>2881</v>
      </c>
      <c r="C4684" s="102" t="s">
        <v>1217</v>
      </c>
    </row>
    <row r="4685" spans="1:3" ht="15">
      <c r="A4685" s="90" t="s">
        <v>374</v>
      </c>
      <c r="B4685" s="89" t="s">
        <v>3211</v>
      </c>
      <c r="C4685" s="102" t="s">
        <v>1217</v>
      </c>
    </row>
    <row r="4686" spans="1:3" ht="15">
      <c r="A4686" s="90" t="s">
        <v>374</v>
      </c>
      <c r="B4686" s="89" t="s">
        <v>2882</v>
      </c>
      <c r="C4686" s="102" t="s">
        <v>1217</v>
      </c>
    </row>
    <row r="4687" spans="1:3" ht="15">
      <c r="A4687" s="90" t="s">
        <v>374</v>
      </c>
      <c r="B4687" s="89" t="s">
        <v>3910</v>
      </c>
      <c r="C4687" s="102" t="s">
        <v>1217</v>
      </c>
    </row>
    <row r="4688" spans="1:3" ht="15">
      <c r="A4688" s="90" t="s">
        <v>374</v>
      </c>
      <c r="B4688" s="89" t="s">
        <v>2883</v>
      </c>
      <c r="C4688" s="102" t="s">
        <v>1217</v>
      </c>
    </row>
    <row r="4689" spans="1:3" ht="15">
      <c r="A4689" s="90" t="s">
        <v>374</v>
      </c>
      <c r="B4689" s="89" t="s">
        <v>3141</v>
      </c>
      <c r="C4689" s="102" t="s">
        <v>1217</v>
      </c>
    </row>
    <row r="4690" spans="1:3" ht="15">
      <c r="A4690" s="90" t="s">
        <v>374</v>
      </c>
      <c r="B4690" s="89" t="s">
        <v>2791</v>
      </c>
      <c r="C4690" s="102" t="s">
        <v>1217</v>
      </c>
    </row>
    <row r="4691" spans="1:3" ht="15">
      <c r="A4691" s="90" t="s">
        <v>374</v>
      </c>
      <c r="B4691" s="89" t="s">
        <v>3911</v>
      </c>
      <c r="C4691" s="102" t="s">
        <v>1217</v>
      </c>
    </row>
    <row r="4692" spans="1:3" ht="15">
      <c r="A4692" s="90" t="s">
        <v>374</v>
      </c>
      <c r="B4692" s="89" t="s">
        <v>2786</v>
      </c>
      <c r="C4692" s="102" t="s">
        <v>1217</v>
      </c>
    </row>
    <row r="4693" spans="1:3" ht="15">
      <c r="A4693" s="90" t="s">
        <v>374</v>
      </c>
      <c r="B4693" s="89" t="s">
        <v>2885</v>
      </c>
      <c r="C4693" s="102" t="s">
        <v>1217</v>
      </c>
    </row>
    <row r="4694" spans="1:3" ht="15">
      <c r="A4694" s="90" t="s">
        <v>374</v>
      </c>
      <c r="B4694" s="89" t="s">
        <v>3912</v>
      </c>
      <c r="C4694" s="102" t="s">
        <v>1217</v>
      </c>
    </row>
    <row r="4695" spans="1:3" ht="15">
      <c r="A4695" s="90" t="s">
        <v>374</v>
      </c>
      <c r="B4695" s="89" t="s">
        <v>2886</v>
      </c>
      <c r="C4695" s="102" t="s">
        <v>1217</v>
      </c>
    </row>
    <row r="4696" spans="1:3" ht="15">
      <c r="A4696" s="90" t="s">
        <v>374</v>
      </c>
      <c r="B4696" s="89" t="s">
        <v>2887</v>
      </c>
      <c r="C4696" s="102" t="s">
        <v>1217</v>
      </c>
    </row>
    <row r="4697" spans="1:3" ht="15">
      <c r="A4697" s="90" t="s">
        <v>374</v>
      </c>
      <c r="B4697" s="89" t="s">
        <v>3313</v>
      </c>
      <c r="C4697" s="102" t="s">
        <v>1217</v>
      </c>
    </row>
    <row r="4698" spans="1:3" ht="15">
      <c r="A4698" s="90" t="s">
        <v>374</v>
      </c>
      <c r="B4698" s="89" t="s">
        <v>2888</v>
      </c>
      <c r="C4698" s="102" t="s">
        <v>1217</v>
      </c>
    </row>
    <row r="4699" spans="1:3" ht="15">
      <c r="A4699" s="90" t="s">
        <v>374</v>
      </c>
      <c r="B4699" s="89" t="s">
        <v>2889</v>
      </c>
      <c r="C4699" s="102" t="s">
        <v>1217</v>
      </c>
    </row>
    <row r="4700" spans="1:3" ht="15">
      <c r="A4700" s="90" t="s">
        <v>374</v>
      </c>
      <c r="B4700" s="89" t="s">
        <v>2708</v>
      </c>
      <c r="C4700" s="102" t="s">
        <v>1217</v>
      </c>
    </row>
    <row r="4701" spans="1:3" ht="15">
      <c r="A4701" s="90" t="s">
        <v>374</v>
      </c>
      <c r="B4701" s="89" t="s">
        <v>712</v>
      </c>
      <c r="C4701" s="102" t="s">
        <v>1217</v>
      </c>
    </row>
    <row r="4702" spans="1:3" ht="15">
      <c r="A4702" s="90" t="s">
        <v>374</v>
      </c>
      <c r="B4702" s="89" t="s">
        <v>4137</v>
      </c>
      <c r="C4702" s="102" t="s">
        <v>1216</v>
      </c>
    </row>
    <row r="4703" spans="1:3" ht="15">
      <c r="A4703" s="90" t="s">
        <v>374</v>
      </c>
      <c r="B4703" s="89" t="s">
        <v>2666</v>
      </c>
      <c r="C4703" s="102" t="s">
        <v>1216</v>
      </c>
    </row>
    <row r="4704" spans="1:3" ht="15">
      <c r="A4704" s="90" t="s">
        <v>374</v>
      </c>
      <c r="B4704" s="89" t="s">
        <v>2664</v>
      </c>
      <c r="C4704" s="102" t="s">
        <v>1216</v>
      </c>
    </row>
    <row r="4705" spans="1:3" ht="15">
      <c r="A4705" s="90" t="s">
        <v>374</v>
      </c>
      <c r="B4705" s="89" t="s">
        <v>3356</v>
      </c>
      <c r="C4705" s="102" t="s">
        <v>1216</v>
      </c>
    </row>
    <row r="4706" spans="1:3" ht="15">
      <c r="A4706" s="90" t="s">
        <v>374</v>
      </c>
      <c r="B4706" s="89" t="s">
        <v>2667</v>
      </c>
      <c r="C4706" s="102" t="s">
        <v>1216</v>
      </c>
    </row>
    <row r="4707" spans="1:3" ht="15">
      <c r="A4707" s="90" t="s">
        <v>374</v>
      </c>
      <c r="B4707" s="89" t="s">
        <v>2663</v>
      </c>
      <c r="C4707" s="102" t="s">
        <v>1216</v>
      </c>
    </row>
    <row r="4708" spans="1:3" ht="15">
      <c r="A4708" s="90" t="s">
        <v>374</v>
      </c>
      <c r="B4708" s="89" t="s">
        <v>3137</v>
      </c>
      <c r="C4708" s="102" t="s">
        <v>1216</v>
      </c>
    </row>
    <row r="4709" spans="1:3" ht="15">
      <c r="A4709" s="90" t="s">
        <v>374</v>
      </c>
      <c r="B4709" s="89" t="s">
        <v>712</v>
      </c>
      <c r="C4709" s="102" t="s">
        <v>1216</v>
      </c>
    </row>
    <row r="4710" spans="1:3" ht="15">
      <c r="A4710" s="90" t="s">
        <v>374</v>
      </c>
      <c r="B4710" s="89" t="s">
        <v>3692</v>
      </c>
      <c r="C4710" s="102" t="s">
        <v>1216</v>
      </c>
    </row>
    <row r="4711" spans="1:3" ht="15">
      <c r="A4711" s="90" t="s">
        <v>374</v>
      </c>
      <c r="B4711" s="89" t="s">
        <v>3044</v>
      </c>
      <c r="C4711" s="102" t="s">
        <v>1216</v>
      </c>
    </row>
    <row r="4712" spans="1:3" ht="15">
      <c r="A4712" s="90" t="s">
        <v>374</v>
      </c>
      <c r="B4712" s="89" t="s">
        <v>2668</v>
      </c>
      <c r="C4712" s="102" t="s">
        <v>1216</v>
      </c>
    </row>
    <row r="4713" spans="1:3" ht="15">
      <c r="A4713" s="90" t="s">
        <v>374</v>
      </c>
      <c r="B4713" s="89" t="s">
        <v>2875</v>
      </c>
      <c r="C4713" s="102" t="s">
        <v>1216</v>
      </c>
    </row>
    <row r="4714" spans="1:3" ht="15">
      <c r="A4714" s="90" t="s">
        <v>243</v>
      </c>
      <c r="B4714" s="89" t="s">
        <v>3909</v>
      </c>
      <c r="C4714" s="102" t="s">
        <v>989</v>
      </c>
    </row>
    <row r="4715" spans="1:3" ht="15">
      <c r="A4715" s="90" t="s">
        <v>243</v>
      </c>
      <c r="B4715" s="89" t="s">
        <v>3475</v>
      </c>
      <c r="C4715" s="102" t="s">
        <v>989</v>
      </c>
    </row>
    <row r="4716" spans="1:3" ht="15">
      <c r="A4716" s="90" t="s">
        <v>243</v>
      </c>
      <c r="B4716" s="89" t="s">
        <v>2877</v>
      </c>
      <c r="C4716" s="102" t="s">
        <v>989</v>
      </c>
    </row>
    <row r="4717" spans="1:3" ht="15">
      <c r="A4717" s="90" t="s">
        <v>243</v>
      </c>
      <c r="B4717" s="89" t="s">
        <v>2714</v>
      </c>
      <c r="C4717" s="102" t="s">
        <v>989</v>
      </c>
    </row>
    <row r="4718" spans="1:3" ht="15">
      <c r="A4718" s="90" t="s">
        <v>243</v>
      </c>
      <c r="B4718" s="89" t="s">
        <v>2878</v>
      </c>
      <c r="C4718" s="102" t="s">
        <v>989</v>
      </c>
    </row>
    <row r="4719" spans="1:3" ht="15">
      <c r="A4719" s="90" t="s">
        <v>243</v>
      </c>
      <c r="B4719" s="89" t="s">
        <v>2879</v>
      </c>
      <c r="C4719" s="102" t="s">
        <v>989</v>
      </c>
    </row>
    <row r="4720" spans="1:3" ht="15">
      <c r="A4720" s="90" t="s">
        <v>243</v>
      </c>
      <c r="B4720" s="89" t="s">
        <v>2880</v>
      </c>
      <c r="C4720" s="102" t="s">
        <v>989</v>
      </c>
    </row>
    <row r="4721" spans="1:3" ht="15">
      <c r="A4721" s="90" t="s">
        <v>243</v>
      </c>
      <c r="B4721" s="89" t="s">
        <v>3137</v>
      </c>
      <c r="C4721" s="102" t="s">
        <v>989</v>
      </c>
    </row>
    <row r="4722" spans="1:3" ht="15">
      <c r="A4722" s="90" t="s">
        <v>243</v>
      </c>
      <c r="B4722" s="89" t="s">
        <v>2881</v>
      </c>
      <c r="C4722" s="102" t="s">
        <v>989</v>
      </c>
    </row>
    <row r="4723" spans="1:3" ht="15">
      <c r="A4723" s="90" t="s">
        <v>243</v>
      </c>
      <c r="B4723" s="89" t="s">
        <v>3211</v>
      </c>
      <c r="C4723" s="102" t="s">
        <v>989</v>
      </c>
    </row>
    <row r="4724" spans="1:3" ht="15">
      <c r="A4724" s="90" t="s">
        <v>243</v>
      </c>
      <c r="B4724" s="89" t="s">
        <v>2882</v>
      </c>
      <c r="C4724" s="102" t="s">
        <v>989</v>
      </c>
    </row>
    <row r="4725" spans="1:3" ht="15">
      <c r="A4725" s="90" t="s">
        <v>243</v>
      </c>
      <c r="B4725" s="89" t="s">
        <v>3910</v>
      </c>
      <c r="C4725" s="102" t="s">
        <v>989</v>
      </c>
    </row>
    <row r="4726" spans="1:3" ht="15">
      <c r="A4726" s="90" t="s">
        <v>243</v>
      </c>
      <c r="B4726" s="89" t="s">
        <v>2883</v>
      </c>
      <c r="C4726" s="102" t="s">
        <v>989</v>
      </c>
    </row>
    <row r="4727" spans="1:3" ht="15">
      <c r="A4727" s="90" t="s">
        <v>243</v>
      </c>
      <c r="B4727" s="89" t="s">
        <v>3141</v>
      </c>
      <c r="C4727" s="102" t="s">
        <v>989</v>
      </c>
    </row>
    <row r="4728" spans="1:3" ht="15">
      <c r="A4728" s="90" t="s">
        <v>243</v>
      </c>
      <c r="B4728" s="89" t="s">
        <v>2791</v>
      </c>
      <c r="C4728" s="102" t="s">
        <v>989</v>
      </c>
    </row>
    <row r="4729" spans="1:3" ht="15">
      <c r="A4729" s="90" t="s">
        <v>243</v>
      </c>
      <c r="B4729" s="89" t="s">
        <v>3911</v>
      </c>
      <c r="C4729" s="102" t="s">
        <v>989</v>
      </c>
    </row>
    <row r="4730" spans="1:3" ht="15">
      <c r="A4730" s="90" t="s">
        <v>243</v>
      </c>
      <c r="B4730" s="89" t="s">
        <v>2786</v>
      </c>
      <c r="C4730" s="102" t="s">
        <v>989</v>
      </c>
    </row>
    <row r="4731" spans="1:3" ht="15">
      <c r="A4731" s="90" t="s">
        <v>243</v>
      </c>
      <c r="B4731" s="89" t="s">
        <v>2885</v>
      </c>
      <c r="C4731" s="102" t="s">
        <v>989</v>
      </c>
    </row>
    <row r="4732" spans="1:3" ht="15">
      <c r="A4732" s="90" t="s">
        <v>243</v>
      </c>
      <c r="B4732" s="89" t="s">
        <v>3912</v>
      </c>
      <c r="C4732" s="102" t="s">
        <v>989</v>
      </c>
    </row>
    <row r="4733" spans="1:3" ht="15">
      <c r="A4733" s="90" t="s">
        <v>243</v>
      </c>
      <c r="B4733" s="89" t="s">
        <v>2886</v>
      </c>
      <c r="C4733" s="102" t="s">
        <v>989</v>
      </c>
    </row>
    <row r="4734" spans="1:3" ht="15">
      <c r="A4734" s="90" t="s">
        <v>243</v>
      </c>
      <c r="B4734" s="89" t="s">
        <v>2887</v>
      </c>
      <c r="C4734" s="102" t="s">
        <v>989</v>
      </c>
    </row>
    <row r="4735" spans="1:3" ht="15">
      <c r="A4735" s="90" t="s">
        <v>243</v>
      </c>
      <c r="B4735" s="89" t="s">
        <v>3313</v>
      </c>
      <c r="C4735" s="102" t="s">
        <v>989</v>
      </c>
    </row>
    <row r="4736" spans="1:3" ht="15">
      <c r="A4736" s="90" t="s">
        <v>243</v>
      </c>
      <c r="B4736" s="89" t="s">
        <v>2888</v>
      </c>
      <c r="C4736" s="102" t="s">
        <v>989</v>
      </c>
    </row>
    <row r="4737" spans="1:3" ht="15">
      <c r="A4737" s="90" t="s">
        <v>243</v>
      </c>
      <c r="B4737" s="89" t="s">
        <v>2889</v>
      </c>
      <c r="C4737" s="102" t="s">
        <v>989</v>
      </c>
    </row>
    <row r="4738" spans="1:3" ht="15">
      <c r="A4738" s="90" t="s">
        <v>243</v>
      </c>
      <c r="B4738" s="89" t="s">
        <v>2708</v>
      </c>
      <c r="C4738" s="102" t="s">
        <v>989</v>
      </c>
    </row>
    <row r="4739" spans="1:3" ht="15">
      <c r="A4739" s="90" t="s">
        <v>243</v>
      </c>
      <c r="B4739" s="89" t="s">
        <v>712</v>
      </c>
      <c r="C4739" s="102" t="s">
        <v>989</v>
      </c>
    </row>
    <row r="4740" spans="1:3" ht="15">
      <c r="A4740" s="90" t="s">
        <v>247</v>
      </c>
      <c r="B4740" s="89" t="s">
        <v>4510</v>
      </c>
      <c r="C4740" s="102" t="s">
        <v>994</v>
      </c>
    </row>
    <row r="4741" spans="1:3" ht="15">
      <c r="A4741" s="90" t="s">
        <v>247</v>
      </c>
      <c r="B4741" s="89" t="s">
        <v>3071</v>
      </c>
      <c r="C4741" s="102" t="s">
        <v>994</v>
      </c>
    </row>
    <row r="4742" spans="1:3" ht="15">
      <c r="A4742" s="90" t="s">
        <v>247</v>
      </c>
      <c r="B4742" s="89" t="s">
        <v>3205</v>
      </c>
      <c r="C4742" s="102" t="s">
        <v>994</v>
      </c>
    </row>
    <row r="4743" spans="1:3" ht="15">
      <c r="A4743" s="90" t="s">
        <v>247</v>
      </c>
      <c r="B4743" s="89" t="s">
        <v>4511</v>
      </c>
      <c r="C4743" s="102" t="s">
        <v>994</v>
      </c>
    </row>
    <row r="4744" spans="1:3" ht="15">
      <c r="A4744" s="90" t="s">
        <v>247</v>
      </c>
      <c r="B4744" s="89" t="s">
        <v>3204</v>
      </c>
      <c r="C4744" s="102" t="s">
        <v>994</v>
      </c>
    </row>
    <row r="4745" spans="1:3" ht="15">
      <c r="A4745" s="90" t="s">
        <v>247</v>
      </c>
      <c r="B4745" s="89" t="s">
        <v>3072</v>
      </c>
      <c r="C4745" s="102" t="s">
        <v>994</v>
      </c>
    </row>
    <row r="4746" spans="1:3" ht="15">
      <c r="A4746" s="90" t="s">
        <v>247</v>
      </c>
      <c r="B4746" s="89" t="s">
        <v>3073</v>
      </c>
      <c r="C4746" s="102" t="s">
        <v>994</v>
      </c>
    </row>
    <row r="4747" spans="1:3" ht="15">
      <c r="A4747" s="90" t="s">
        <v>247</v>
      </c>
      <c r="B4747" s="89" t="s">
        <v>2733</v>
      </c>
      <c r="C4747" s="102" t="s">
        <v>994</v>
      </c>
    </row>
    <row r="4748" spans="1:3" ht="15">
      <c r="A4748" s="90" t="s">
        <v>247</v>
      </c>
      <c r="B4748" s="89" t="s">
        <v>2911</v>
      </c>
      <c r="C4748" s="102" t="s">
        <v>994</v>
      </c>
    </row>
    <row r="4749" spans="1:3" ht="15">
      <c r="A4749" s="90" t="s">
        <v>247</v>
      </c>
      <c r="B4749" s="89" t="s">
        <v>2809</v>
      </c>
      <c r="C4749" s="102" t="s">
        <v>994</v>
      </c>
    </row>
    <row r="4750" spans="1:3" ht="15">
      <c r="A4750" s="90" t="s">
        <v>247</v>
      </c>
      <c r="B4750" s="89" t="s">
        <v>4512</v>
      </c>
      <c r="C4750" s="102" t="s">
        <v>994</v>
      </c>
    </row>
    <row r="4751" spans="1:3" ht="15">
      <c r="A4751" s="90" t="s">
        <v>247</v>
      </c>
      <c r="B4751" s="89" t="s">
        <v>3074</v>
      </c>
      <c r="C4751" s="102" t="s">
        <v>994</v>
      </c>
    </row>
    <row r="4752" spans="1:3" ht="15">
      <c r="A4752" s="90" t="s">
        <v>247</v>
      </c>
      <c r="B4752" s="89" t="s">
        <v>3137</v>
      </c>
      <c r="C4752" s="102" t="s">
        <v>994</v>
      </c>
    </row>
    <row r="4753" spans="1:3" ht="15">
      <c r="A4753" s="90" t="s">
        <v>247</v>
      </c>
      <c r="B4753" s="89" t="s">
        <v>3585</v>
      </c>
      <c r="C4753" s="102" t="s">
        <v>994</v>
      </c>
    </row>
    <row r="4754" spans="1:3" ht="15">
      <c r="A4754" s="90" t="s">
        <v>247</v>
      </c>
      <c r="B4754" s="89" t="s">
        <v>3075</v>
      </c>
      <c r="C4754" s="102" t="s">
        <v>994</v>
      </c>
    </row>
    <row r="4755" spans="1:3" ht="15">
      <c r="A4755" s="90" t="s">
        <v>247</v>
      </c>
      <c r="B4755" s="89" t="s">
        <v>3076</v>
      </c>
      <c r="C4755" s="102" t="s">
        <v>994</v>
      </c>
    </row>
    <row r="4756" spans="1:3" ht="15">
      <c r="A4756" s="90" t="s">
        <v>247</v>
      </c>
      <c r="B4756" s="89" t="s">
        <v>2837</v>
      </c>
      <c r="C4756" s="102" t="s">
        <v>994</v>
      </c>
    </row>
    <row r="4757" spans="1:3" ht="15">
      <c r="A4757" s="90" t="s">
        <v>247</v>
      </c>
      <c r="B4757" s="89" t="s">
        <v>2740</v>
      </c>
      <c r="C4757" s="102" t="s">
        <v>994</v>
      </c>
    </row>
    <row r="4758" spans="1:3" ht="15">
      <c r="A4758" s="90" t="s">
        <v>247</v>
      </c>
      <c r="B4758" s="89" t="s">
        <v>3077</v>
      </c>
      <c r="C4758" s="102" t="s">
        <v>994</v>
      </c>
    </row>
    <row r="4759" spans="1:3" ht="15">
      <c r="A4759" s="90" t="s">
        <v>242</v>
      </c>
      <c r="B4759" s="89" t="s">
        <v>4510</v>
      </c>
      <c r="C4759" s="102" t="s">
        <v>988</v>
      </c>
    </row>
    <row r="4760" spans="1:3" ht="15">
      <c r="A4760" s="90" t="s">
        <v>242</v>
      </c>
      <c r="B4760" s="89" t="s">
        <v>3071</v>
      </c>
      <c r="C4760" s="102" t="s">
        <v>988</v>
      </c>
    </row>
    <row r="4761" spans="1:3" ht="15">
      <c r="A4761" s="90" t="s">
        <v>242</v>
      </c>
      <c r="B4761" s="89" t="s">
        <v>3205</v>
      </c>
      <c r="C4761" s="102" t="s">
        <v>988</v>
      </c>
    </row>
    <row r="4762" spans="1:3" ht="15">
      <c r="A4762" s="90" t="s">
        <v>242</v>
      </c>
      <c r="B4762" s="89" t="s">
        <v>4511</v>
      </c>
      <c r="C4762" s="102" t="s">
        <v>988</v>
      </c>
    </row>
    <row r="4763" spans="1:3" ht="15">
      <c r="A4763" s="90" t="s">
        <v>242</v>
      </c>
      <c r="B4763" s="89" t="s">
        <v>3204</v>
      </c>
      <c r="C4763" s="102" t="s">
        <v>988</v>
      </c>
    </row>
    <row r="4764" spans="1:3" ht="15">
      <c r="A4764" s="90" t="s">
        <v>242</v>
      </c>
      <c r="B4764" s="89" t="s">
        <v>3072</v>
      </c>
      <c r="C4764" s="102" t="s">
        <v>988</v>
      </c>
    </row>
    <row r="4765" spans="1:3" ht="15">
      <c r="A4765" s="90" t="s">
        <v>242</v>
      </c>
      <c r="B4765" s="89" t="s">
        <v>3073</v>
      </c>
      <c r="C4765" s="102" t="s">
        <v>988</v>
      </c>
    </row>
    <row r="4766" spans="1:3" ht="15">
      <c r="A4766" s="90" t="s">
        <v>242</v>
      </c>
      <c r="B4766" s="89" t="s">
        <v>2733</v>
      </c>
      <c r="C4766" s="102" t="s">
        <v>988</v>
      </c>
    </row>
    <row r="4767" spans="1:3" ht="15">
      <c r="A4767" s="90" t="s">
        <v>242</v>
      </c>
      <c r="B4767" s="89" t="s">
        <v>2911</v>
      </c>
      <c r="C4767" s="102" t="s">
        <v>988</v>
      </c>
    </row>
    <row r="4768" spans="1:3" ht="15">
      <c r="A4768" s="90" t="s">
        <v>242</v>
      </c>
      <c r="B4768" s="89" t="s">
        <v>2809</v>
      </c>
      <c r="C4768" s="102" t="s">
        <v>988</v>
      </c>
    </row>
    <row r="4769" spans="1:3" ht="15">
      <c r="A4769" s="90" t="s">
        <v>242</v>
      </c>
      <c r="B4769" s="89" t="s">
        <v>4512</v>
      </c>
      <c r="C4769" s="102" t="s">
        <v>988</v>
      </c>
    </row>
    <row r="4770" spans="1:3" ht="15">
      <c r="A4770" s="90" t="s">
        <v>242</v>
      </c>
      <c r="B4770" s="89" t="s">
        <v>3074</v>
      </c>
      <c r="C4770" s="102" t="s">
        <v>988</v>
      </c>
    </row>
    <row r="4771" spans="1:3" ht="15">
      <c r="A4771" s="90" t="s">
        <v>242</v>
      </c>
      <c r="B4771" s="89" t="s">
        <v>3137</v>
      </c>
      <c r="C4771" s="102" t="s">
        <v>988</v>
      </c>
    </row>
    <row r="4772" spans="1:3" ht="15">
      <c r="A4772" s="90" t="s">
        <v>242</v>
      </c>
      <c r="B4772" s="89" t="s">
        <v>3585</v>
      </c>
      <c r="C4772" s="102" t="s">
        <v>988</v>
      </c>
    </row>
    <row r="4773" spans="1:3" ht="15">
      <c r="A4773" s="90" t="s">
        <v>242</v>
      </c>
      <c r="B4773" s="89" t="s">
        <v>3075</v>
      </c>
      <c r="C4773" s="102" t="s">
        <v>988</v>
      </c>
    </row>
    <row r="4774" spans="1:3" ht="15">
      <c r="A4774" s="90" t="s">
        <v>242</v>
      </c>
      <c r="B4774" s="89" t="s">
        <v>3076</v>
      </c>
      <c r="C4774" s="102" t="s">
        <v>988</v>
      </c>
    </row>
    <row r="4775" spans="1:3" ht="15">
      <c r="A4775" s="90" t="s">
        <v>242</v>
      </c>
      <c r="B4775" s="89" t="s">
        <v>2837</v>
      </c>
      <c r="C4775" s="102" t="s">
        <v>988</v>
      </c>
    </row>
    <row r="4776" spans="1:3" ht="15">
      <c r="A4776" s="90" t="s">
        <v>242</v>
      </c>
      <c r="B4776" s="89" t="s">
        <v>2740</v>
      </c>
      <c r="C4776" s="102" t="s">
        <v>988</v>
      </c>
    </row>
    <row r="4777" spans="1:3" ht="15">
      <c r="A4777" s="90" t="s">
        <v>242</v>
      </c>
      <c r="B4777" s="89" t="s">
        <v>3077</v>
      </c>
      <c r="C4777" s="102" t="s">
        <v>988</v>
      </c>
    </row>
    <row r="4778" spans="1:3" ht="15">
      <c r="A4778" s="90" t="s">
        <v>241</v>
      </c>
      <c r="B4778" s="89" t="s">
        <v>3908</v>
      </c>
      <c r="C4778" s="102" t="s">
        <v>987</v>
      </c>
    </row>
    <row r="4779" spans="1:3" ht="15">
      <c r="A4779" s="90" t="s">
        <v>241</v>
      </c>
      <c r="B4779" s="89" t="s">
        <v>4513</v>
      </c>
      <c r="C4779" s="102" t="s">
        <v>987</v>
      </c>
    </row>
    <row r="4780" spans="1:3" ht="15">
      <c r="A4780" s="90" t="s">
        <v>241</v>
      </c>
      <c r="B4780" s="89" t="s">
        <v>3719</v>
      </c>
      <c r="C4780" s="102" t="s">
        <v>987</v>
      </c>
    </row>
    <row r="4781" spans="1:3" ht="15">
      <c r="A4781" s="90" t="s">
        <v>241</v>
      </c>
      <c r="B4781" s="89" t="s">
        <v>3079</v>
      </c>
      <c r="C4781" s="102" t="s">
        <v>987</v>
      </c>
    </row>
    <row r="4782" spans="1:3" ht="15">
      <c r="A4782" s="90" t="s">
        <v>241</v>
      </c>
      <c r="B4782" s="89" t="s">
        <v>3080</v>
      </c>
      <c r="C4782" s="102" t="s">
        <v>987</v>
      </c>
    </row>
    <row r="4783" spans="1:3" ht="15">
      <c r="A4783" s="90" t="s">
        <v>241</v>
      </c>
      <c r="B4783" s="89" t="s">
        <v>2846</v>
      </c>
      <c r="C4783" s="102" t="s">
        <v>987</v>
      </c>
    </row>
    <row r="4784" spans="1:3" ht="15">
      <c r="A4784" s="90" t="s">
        <v>241</v>
      </c>
      <c r="B4784" s="89" t="s">
        <v>3081</v>
      </c>
      <c r="C4784" s="102" t="s">
        <v>987</v>
      </c>
    </row>
    <row r="4785" spans="1:3" ht="15">
      <c r="A4785" s="90" t="s">
        <v>241</v>
      </c>
      <c r="B4785" s="89" t="s">
        <v>3082</v>
      </c>
      <c r="C4785" s="102" t="s">
        <v>987</v>
      </c>
    </row>
    <row r="4786" spans="1:3" ht="15">
      <c r="A4786" s="90" t="s">
        <v>241</v>
      </c>
      <c r="B4786" s="89" t="s">
        <v>3263</v>
      </c>
      <c r="C4786" s="102" t="s">
        <v>987</v>
      </c>
    </row>
    <row r="4787" spans="1:3" ht="15">
      <c r="A4787" s="90" t="s">
        <v>241</v>
      </c>
      <c r="B4787" s="89" t="s">
        <v>4514</v>
      </c>
      <c r="C4787" s="102" t="s">
        <v>987</v>
      </c>
    </row>
    <row r="4788" spans="1:3" ht="15">
      <c r="A4788" s="90" t="s">
        <v>241</v>
      </c>
      <c r="B4788" s="89" t="s">
        <v>3083</v>
      </c>
      <c r="C4788" s="102" t="s">
        <v>987</v>
      </c>
    </row>
    <row r="4789" spans="1:3" ht="15">
      <c r="A4789" s="90" t="s">
        <v>241</v>
      </c>
      <c r="B4789" s="89" t="s">
        <v>3084</v>
      </c>
      <c r="C4789" s="102" t="s">
        <v>987</v>
      </c>
    </row>
    <row r="4790" spans="1:3" ht="15">
      <c r="A4790" s="90" t="s">
        <v>241</v>
      </c>
      <c r="B4790" s="89" t="s">
        <v>2788</v>
      </c>
      <c r="C4790" s="102" t="s">
        <v>987</v>
      </c>
    </row>
    <row r="4791" spans="1:3" ht="15">
      <c r="A4791" s="90" t="s">
        <v>241</v>
      </c>
      <c r="B4791" s="89" t="s">
        <v>3137</v>
      </c>
      <c r="C4791" s="102" t="s">
        <v>987</v>
      </c>
    </row>
    <row r="4792" spans="1:3" ht="15">
      <c r="A4792" s="90" t="s">
        <v>241</v>
      </c>
      <c r="B4792" s="89" t="s">
        <v>3085</v>
      </c>
      <c r="C4792" s="102" t="s">
        <v>987</v>
      </c>
    </row>
    <row r="4793" spans="1:3" ht="15">
      <c r="A4793" s="90" t="s">
        <v>241</v>
      </c>
      <c r="B4793" s="89" t="s">
        <v>2869</v>
      </c>
      <c r="C4793" s="102" t="s">
        <v>987</v>
      </c>
    </row>
    <row r="4794" spans="1:3" ht="15">
      <c r="A4794" s="90" t="s">
        <v>241</v>
      </c>
      <c r="B4794" s="89" t="s">
        <v>4515</v>
      </c>
      <c r="C4794" s="102" t="s">
        <v>987</v>
      </c>
    </row>
    <row r="4795" spans="1:3" ht="15">
      <c r="A4795" s="90" t="s">
        <v>241</v>
      </c>
      <c r="B4795" s="89" t="s">
        <v>4516</v>
      </c>
      <c r="C4795" s="102" t="s">
        <v>987</v>
      </c>
    </row>
    <row r="4796" spans="1:3" ht="15">
      <c r="A4796" s="90" t="s">
        <v>241</v>
      </c>
      <c r="B4796" s="89" t="s">
        <v>3087</v>
      </c>
      <c r="C4796" s="102" t="s">
        <v>987</v>
      </c>
    </row>
    <row r="4797" spans="1:3" ht="15">
      <c r="A4797" s="90" t="s">
        <v>241</v>
      </c>
      <c r="B4797" s="89" t="s">
        <v>3088</v>
      </c>
      <c r="C4797" s="102" t="s">
        <v>987</v>
      </c>
    </row>
    <row r="4798" spans="1:3" ht="15">
      <c r="A4798" s="90" t="s">
        <v>241</v>
      </c>
      <c r="B4798" s="89" t="s">
        <v>2810</v>
      </c>
      <c r="C4798" s="102" t="s">
        <v>987</v>
      </c>
    </row>
    <row r="4799" spans="1:3" ht="15">
      <c r="A4799" s="90" t="s">
        <v>241</v>
      </c>
      <c r="B4799" s="89" t="s">
        <v>3204</v>
      </c>
      <c r="C4799" s="102" t="s">
        <v>987</v>
      </c>
    </row>
    <row r="4800" spans="1:3" ht="15">
      <c r="A4800" s="90" t="s">
        <v>241</v>
      </c>
      <c r="B4800" s="89" t="s">
        <v>3141</v>
      </c>
      <c r="C4800" s="102" t="s">
        <v>987</v>
      </c>
    </row>
    <row r="4801" spans="1:3" ht="15">
      <c r="A4801" s="90" t="s">
        <v>241</v>
      </c>
      <c r="B4801" s="89" t="s">
        <v>2682</v>
      </c>
      <c r="C4801" s="102" t="s">
        <v>987</v>
      </c>
    </row>
    <row r="4802" spans="1:3" ht="15">
      <c r="A4802" s="90" t="s">
        <v>241</v>
      </c>
      <c r="B4802" s="89" t="s">
        <v>3089</v>
      </c>
      <c r="C4802" s="102" t="s">
        <v>987</v>
      </c>
    </row>
    <row r="4803" spans="1:3" ht="15">
      <c r="A4803" s="90" t="s">
        <v>241</v>
      </c>
      <c r="B4803" s="89" t="s">
        <v>3357</v>
      </c>
      <c r="C4803" s="102" t="s">
        <v>987</v>
      </c>
    </row>
    <row r="4804" spans="1:3" ht="15">
      <c r="A4804" s="90" t="s">
        <v>241</v>
      </c>
      <c r="B4804" s="89" t="s">
        <v>4517</v>
      </c>
      <c r="C4804" s="102" t="s">
        <v>987</v>
      </c>
    </row>
    <row r="4805" spans="1:3" ht="15">
      <c r="A4805" s="90" t="s">
        <v>241</v>
      </c>
      <c r="B4805" s="89" t="s">
        <v>4518</v>
      </c>
      <c r="C4805" s="102" t="s">
        <v>987</v>
      </c>
    </row>
    <row r="4806" spans="1:3" ht="15">
      <c r="A4806" s="90" t="s">
        <v>241</v>
      </c>
      <c r="B4806" s="89" t="s">
        <v>2710</v>
      </c>
      <c r="C4806" s="102" t="s">
        <v>987</v>
      </c>
    </row>
    <row r="4807" spans="1:3" ht="15">
      <c r="A4807" s="90" t="s">
        <v>241</v>
      </c>
      <c r="B4807" s="89" t="s">
        <v>3633</v>
      </c>
      <c r="C4807" s="102" t="s">
        <v>987</v>
      </c>
    </row>
    <row r="4808" spans="1:3" ht="15">
      <c r="A4808" s="90" t="s">
        <v>241</v>
      </c>
      <c r="B4808" s="89" t="s">
        <v>2751</v>
      </c>
      <c r="C4808" s="102" t="s">
        <v>987</v>
      </c>
    </row>
    <row r="4809" spans="1:3" ht="15">
      <c r="A4809" s="90" t="s">
        <v>241</v>
      </c>
      <c r="B4809" s="89" t="s">
        <v>3153</v>
      </c>
      <c r="C4809" s="102" t="s">
        <v>987</v>
      </c>
    </row>
    <row r="4810" spans="1:3" ht="15">
      <c r="A4810" s="90" t="s">
        <v>241</v>
      </c>
      <c r="B4810" s="89" t="s">
        <v>3770</v>
      </c>
      <c r="C4810" s="102" t="s">
        <v>987</v>
      </c>
    </row>
    <row r="4811" spans="1:3" ht="15">
      <c r="A4811" s="90" t="s">
        <v>241</v>
      </c>
      <c r="B4811" s="89" t="s">
        <v>2848</v>
      </c>
      <c r="C4811" s="102" t="s">
        <v>987</v>
      </c>
    </row>
    <row r="4812" spans="1:3" ht="15">
      <c r="A4812" s="90" t="s">
        <v>241</v>
      </c>
      <c r="B4812" s="89" t="s">
        <v>2832</v>
      </c>
      <c r="C4812" s="102" t="s">
        <v>987</v>
      </c>
    </row>
    <row r="4813" spans="1:3" ht="15">
      <c r="A4813" s="90" t="s">
        <v>241</v>
      </c>
      <c r="B4813" s="89" t="s">
        <v>4519</v>
      </c>
      <c r="C4813" s="102" t="s">
        <v>987</v>
      </c>
    </row>
    <row r="4814" spans="1:3" ht="15">
      <c r="A4814" s="90" t="s">
        <v>241</v>
      </c>
      <c r="B4814" s="89" t="s">
        <v>3908</v>
      </c>
      <c r="C4814" s="102" t="s">
        <v>986</v>
      </c>
    </row>
    <row r="4815" spans="1:3" ht="15">
      <c r="A4815" s="90" t="s">
        <v>241</v>
      </c>
      <c r="B4815" s="89" t="s">
        <v>4513</v>
      </c>
      <c r="C4815" s="102" t="s">
        <v>986</v>
      </c>
    </row>
    <row r="4816" spans="1:3" ht="15">
      <c r="A4816" s="90" t="s">
        <v>241</v>
      </c>
      <c r="B4816" s="89" t="s">
        <v>3719</v>
      </c>
      <c r="C4816" s="102" t="s">
        <v>986</v>
      </c>
    </row>
    <row r="4817" spans="1:3" ht="15">
      <c r="A4817" s="90" t="s">
        <v>241</v>
      </c>
      <c r="B4817" s="89" t="s">
        <v>3079</v>
      </c>
      <c r="C4817" s="102" t="s">
        <v>986</v>
      </c>
    </row>
    <row r="4818" spans="1:3" ht="15">
      <c r="A4818" s="90" t="s">
        <v>241</v>
      </c>
      <c r="B4818" s="89" t="s">
        <v>3080</v>
      </c>
      <c r="C4818" s="102" t="s">
        <v>986</v>
      </c>
    </row>
    <row r="4819" spans="1:3" ht="15">
      <c r="A4819" s="90" t="s">
        <v>241</v>
      </c>
      <c r="B4819" s="89" t="s">
        <v>2846</v>
      </c>
      <c r="C4819" s="102" t="s">
        <v>986</v>
      </c>
    </row>
    <row r="4820" spans="1:3" ht="15">
      <c r="A4820" s="90" t="s">
        <v>241</v>
      </c>
      <c r="B4820" s="89" t="s">
        <v>3081</v>
      </c>
      <c r="C4820" s="102" t="s">
        <v>986</v>
      </c>
    </row>
    <row r="4821" spans="1:3" ht="15">
      <c r="A4821" s="90" t="s">
        <v>241</v>
      </c>
      <c r="B4821" s="89" t="s">
        <v>3082</v>
      </c>
      <c r="C4821" s="102" t="s">
        <v>986</v>
      </c>
    </row>
    <row r="4822" spans="1:3" ht="15">
      <c r="A4822" s="90" t="s">
        <v>241</v>
      </c>
      <c r="B4822" s="89" t="s">
        <v>3263</v>
      </c>
      <c r="C4822" s="102" t="s">
        <v>986</v>
      </c>
    </row>
    <row r="4823" spans="1:3" ht="15">
      <c r="A4823" s="90" t="s">
        <v>241</v>
      </c>
      <c r="B4823" s="89" t="s">
        <v>4514</v>
      </c>
      <c r="C4823" s="102" t="s">
        <v>986</v>
      </c>
    </row>
    <row r="4824" spans="1:3" ht="15">
      <c r="A4824" s="90" t="s">
        <v>241</v>
      </c>
      <c r="B4824" s="89" t="s">
        <v>3083</v>
      </c>
      <c r="C4824" s="102" t="s">
        <v>986</v>
      </c>
    </row>
    <row r="4825" spans="1:3" ht="15">
      <c r="A4825" s="90" t="s">
        <v>241</v>
      </c>
      <c r="B4825" s="89" t="s">
        <v>3084</v>
      </c>
      <c r="C4825" s="102" t="s">
        <v>986</v>
      </c>
    </row>
    <row r="4826" spans="1:3" ht="15">
      <c r="A4826" s="90" t="s">
        <v>241</v>
      </c>
      <c r="B4826" s="89" t="s">
        <v>2788</v>
      </c>
      <c r="C4826" s="102" t="s">
        <v>986</v>
      </c>
    </row>
    <row r="4827" spans="1:3" ht="15">
      <c r="A4827" s="90" t="s">
        <v>241</v>
      </c>
      <c r="B4827" s="89" t="s">
        <v>3137</v>
      </c>
      <c r="C4827" s="102" t="s">
        <v>986</v>
      </c>
    </row>
    <row r="4828" spans="1:3" ht="15">
      <c r="A4828" s="90" t="s">
        <v>241</v>
      </c>
      <c r="B4828" s="89" t="s">
        <v>3085</v>
      </c>
      <c r="C4828" s="102" t="s">
        <v>986</v>
      </c>
    </row>
    <row r="4829" spans="1:3" ht="15">
      <c r="A4829" s="90" t="s">
        <v>241</v>
      </c>
      <c r="B4829" s="89" t="s">
        <v>2869</v>
      </c>
      <c r="C4829" s="102" t="s">
        <v>986</v>
      </c>
    </row>
    <row r="4830" spans="1:3" ht="15">
      <c r="A4830" s="90" t="s">
        <v>241</v>
      </c>
      <c r="B4830" s="89" t="s">
        <v>4515</v>
      </c>
      <c r="C4830" s="102" t="s">
        <v>986</v>
      </c>
    </row>
    <row r="4831" spans="1:3" ht="15">
      <c r="A4831" s="90" t="s">
        <v>241</v>
      </c>
      <c r="B4831" s="89" t="s">
        <v>4516</v>
      </c>
      <c r="C4831" s="102" t="s">
        <v>986</v>
      </c>
    </row>
    <row r="4832" spans="1:3" ht="15">
      <c r="A4832" s="90" t="s">
        <v>241</v>
      </c>
      <c r="B4832" s="89" t="s">
        <v>3087</v>
      </c>
      <c r="C4832" s="102" t="s">
        <v>986</v>
      </c>
    </row>
    <row r="4833" spans="1:3" ht="15">
      <c r="A4833" s="90" t="s">
        <v>241</v>
      </c>
      <c r="B4833" s="89" t="s">
        <v>3088</v>
      </c>
      <c r="C4833" s="102" t="s">
        <v>986</v>
      </c>
    </row>
    <row r="4834" spans="1:3" ht="15">
      <c r="A4834" s="90" t="s">
        <v>241</v>
      </c>
      <c r="B4834" s="89" t="s">
        <v>2810</v>
      </c>
      <c r="C4834" s="102" t="s">
        <v>986</v>
      </c>
    </row>
    <row r="4835" spans="1:3" ht="15">
      <c r="A4835" s="90" t="s">
        <v>241</v>
      </c>
      <c r="B4835" s="89" t="s">
        <v>3204</v>
      </c>
      <c r="C4835" s="102" t="s">
        <v>986</v>
      </c>
    </row>
    <row r="4836" spans="1:3" ht="15">
      <c r="A4836" s="90" t="s">
        <v>241</v>
      </c>
      <c r="B4836" s="89" t="s">
        <v>3141</v>
      </c>
      <c r="C4836" s="102" t="s">
        <v>986</v>
      </c>
    </row>
    <row r="4837" spans="1:3" ht="15">
      <c r="A4837" s="90" t="s">
        <v>241</v>
      </c>
      <c r="B4837" s="89" t="s">
        <v>2682</v>
      </c>
      <c r="C4837" s="102" t="s">
        <v>986</v>
      </c>
    </row>
    <row r="4838" spans="1:3" ht="15">
      <c r="A4838" s="90" t="s">
        <v>241</v>
      </c>
      <c r="B4838" s="89" t="s">
        <v>3089</v>
      </c>
      <c r="C4838" s="102" t="s">
        <v>986</v>
      </c>
    </row>
    <row r="4839" spans="1:3" ht="15">
      <c r="A4839" s="90" t="s">
        <v>241</v>
      </c>
      <c r="B4839" s="89" t="s">
        <v>3357</v>
      </c>
      <c r="C4839" s="102" t="s">
        <v>986</v>
      </c>
    </row>
    <row r="4840" spans="1:3" ht="15">
      <c r="A4840" s="90" t="s">
        <v>241</v>
      </c>
      <c r="B4840" s="89" t="s">
        <v>4517</v>
      </c>
      <c r="C4840" s="102" t="s">
        <v>986</v>
      </c>
    </row>
    <row r="4841" spans="1:3" ht="15">
      <c r="A4841" s="90" t="s">
        <v>241</v>
      </c>
      <c r="B4841" s="89" t="s">
        <v>4518</v>
      </c>
      <c r="C4841" s="102" t="s">
        <v>986</v>
      </c>
    </row>
    <row r="4842" spans="1:3" ht="15">
      <c r="A4842" s="90" t="s">
        <v>241</v>
      </c>
      <c r="B4842" s="89" t="s">
        <v>2710</v>
      </c>
      <c r="C4842" s="102" t="s">
        <v>986</v>
      </c>
    </row>
    <row r="4843" spans="1:3" ht="15">
      <c r="A4843" s="90" t="s">
        <v>241</v>
      </c>
      <c r="B4843" s="89" t="s">
        <v>3633</v>
      </c>
      <c r="C4843" s="102" t="s">
        <v>986</v>
      </c>
    </row>
    <row r="4844" spans="1:3" ht="15">
      <c r="A4844" s="90" t="s">
        <v>241</v>
      </c>
      <c r="B4844" s="89" t="s">
        <v>2751</v>
      </c>
      <c r="C4844" s="102" t="s">
        <v>986</v>
      </c>
    </row>
    <row r="4845" spans="1:3" ht="15">
      <c r="A4845" s="90" t="s">
        <v>241</v>
      </c>
      <c r="B4845" s="89" t="s">
        <v>3153</v>
      </c>
      <c r="C4845" s="102" t="s">
        <v>986</v>
      </c>
    </row>
    <row r="4846" spans="1:3" ht="15">
      <c r="A4846" s="90" t="s">
        <v>241</v>
      </c>
      <c r="B4846" s="89" t="s">
        <v>3770</v>
      </c>
      <c r="C4846" s="102" t="s">
        <v>986</v>
      </c>
    </row>
    <row r="4847" spans="1:3" ht="15">
      <c r="A4847" s="90" t="s">
        <v>241</v>
      </c>
      <c r="B4847" s="89" t="s">
        <v>2848</v>
      </c>
      <c r="C4847" s="102" t="s">
        <v>986</v>
      </c>
    </row>
    <row r="4848" spans="1:3" ht="15">
      <c r="A4848" s="90" t="s">
        <v>241</v>
      </c>
      <c r="B4848" s="89" t="s">
        <v>2832</v>
      </c>
      <c r="C4848" s="102" t="s">
        <v>986</v>
      </c>
    </row>
    <row r="4849" spans="1:3" ht="15">
      <c r="A4849" s="90" t="s">
        <v>241</v>
      </c>
      <c r="B4849" s="89" t="s">
        <v>4519</v>
      </c>
      <c r="C4849" s="102" t="s">
        <v>986</v>
      </c>
    </row>
    <row r="4850" spans="1:3" ht="15">
      <c r="A4850" s="90" t="s">
        <v>240</v>
      </c>
      <c r="B4850" s="89" t="s">
        <v>391</v>
      </c>
      <c r="C4850" s="102" t="s">
        <v>985</v>
      </c>
    </row>
    <row r="4851" spans="1:3" ht="15">
      <c r="A4851" s="90" t="s">
        <v>240</v>
      </c>
      <c r="B4851" s="89" t="s">
        <v>3442</v>
      </c>
      <c r="C4851" s="102" t="s">
        <v>985</v>
      </c>
    </row>
    <row r="4852" spans="1:3" ht="15">
      <c r="A4852" s="90" t="s">
        <v>240</v>
      </c>
      <c r="B4852" s="89" t="s">
        <v>4520</v>
      </c>
      <c r="C4852" s="102" t="s">
        <v>985</v>
      </c>
    </row>
    <row r="4853" spans="1:3" ht="15">
      <c r="A4853" s="90" t="s">
        <v>240</v>
      </c>
      <c r="B4853" s="89" t="s">
        <v>4362</v>
      </c>
      <c r="C4853" s="102" t="s">
        <v>985</v>
      </c>
    </row>
    <row r="4854" spans="1:3" ht="15">
      <c r="A4854" s="90" t="s">
        <v>240</v>
      </c>
      <c r="B4854" s="89" t="s">
        <v>4521</v>
      </c>
      <c r="C4854" s="102" t="s">
        <v>985</v>
      </c>
    </row>
    <row r="4855" spans="1:3" ht="15">
      <c r="A4855" s="90" t="s">
        <v>240</v>
      </c>
      <c r="B4855" s="89" t="s">
        <v>3846</v>
      </c>
      <c r="C4855" s="102" t="s">
        <v>985</v>
      </c>
    </row>
    <row r="4856" spans="1:3" ht="15">
      <c r="A4856" s="90" t="s">
        <v>240</v>
      </c>
      <c r="B4856" s="89" t="s">
        <v>4522</v>
      </c>
      <c r="C4856" s="102" t="s">
        <v>985</v>
      </c>
    </row>
    <row r="4857" spans="1:3" ht="15">
      <c r="A4857" s="90" t="s">
        <v>240</v>
      </c>
      <c r="B4857" s="89" t="s">
        <v>2984</v>
      </c>
      <c r="C4857" s="102" t="s">
        <v>985</v>
      </c>
    </row>
    <row r="4858" spans="1:3" ht="15">
      <c r="A4858" s="90" t="s">
        <v>240</v>
      </c>
      <c r="B4858" s="89" t="s">
        <v>3263</v>
      </c>
      <c r="C4858" s="102" t="s">
        <v>985</v>
      </c>
    </row>
    <row r="4859" spans="1:3" ht="15">
      <c r="A4859" s="90" t="s">
        <v>240</v>
      </c>
      <c r="B4859" s="89" t="s">
        <v>4523</v>
      </c>
      <c r="C4859" s="102" t="s">
        <v>985</v>
      </c>
    </row>
    <row r="4860" spans="1:3" ht="15">
      <c r="A4860" s="90" t="s">
        <v>240</v>
      </c>
      <c r="B4860" s="89" t="s">
        <v>3090</v>
      </c>
      <c r="C4860" s="102" t="s">
        <v>985</v>
      </c>
    </row>
    <row r="4861" spans="1:3" ht="15">
      <c r="A4861" s="90" t="s">
        <v>240</v>
      </c>
      <c r="B4861" s="89" t="s">
        <v>3137</v>
      </c>
      <c r="C4861" s="102" t="s">
        <v>985</v>
      </c>
    </row>
    <row r="4862" spans="1:3" ht="15">
      <c r="A4862" s="90" t="s">
        <v>240</v>
      </c>
      <c r="B4862" s="89" t="s">
        <v>712</v>
      </c>
      <c r="C4862" s="102" t="s">
        <v>985</v>
      </c>
    </row>
    <row r="4863" spans="1:3" ht="15">
      <c r="A4863" s="90" t="s">
        <v>240</v>
      </c>
      <c r="B4863" s="89" t="s">
        <v>4524</v>
      </c>
      <c r="C4863" s="102" t="s">
        <v>985</v>
      </c>
    </row>
    <row r="4864" spans="1:3" ht="15">
      <c r="A4864" s="90" t="s">
        <v>240</v>
      </c>
      <c r="B4864" s="89" t="s">
        <v>3818</v>
      </c>
      <c r="C4864" s="102" t="s">
        <v>985</v>
      </c>
    </row>
    <row r="4865" spans="1:3" ht="15">
      <c r="A4865" s="90" t="s">
        <v>240</v>
      </c>
      <c r="B4865" s="89" t="s">
        <v>4525</v>
      </c>
      <c r="C4865" s="102" t="s">
        <v>985</v>
      </c>
    </row>
    <row r="4866" spans="1:3" ht="15">
      <c r="A4866" s="90" t="s">
        <v>240</v>
      </c>
      <c r="B4866" s="89" t="s">
        <v>4526</v>
      </c>
      <c r="C4866" s="102" t="s">
        <v>985</v>
      </c>
    </row>
    <row r="4867" spans="1:3" ht="15">
      <c r="A4867" s="90" t="s">
        <v>240</v>
      </c>
      <c r="B4867" s="89" t="s">
        <v>2817</v>
      </c>
      <c r="C4867" s="102" t="s">
        <v>985</v>
      </c>
    </row>
    <row r="4868" spans="1:3" ht="15">
      <c r="A4868" s="90" t="s">
        <v>239</v>
      </c>
      <c r="B4868" s="89" t="s">
        <v>4527</v>
      </c>
      <c r="C4868" s="102" t="s">
        <v>984</v>
      </c>
    </row>
    <row r="4869" spans="1:3" ht="15">
      <c r="A4869" s="90" t="s">
        <v>239</v>
      </c>
      <c r="B4869" s="89" t="s">
        <v>4528</v>
      </c>
      <c r="C4869" s="102" t="s">
        <v>984</v>
      </c>
    </row>
    <row r="4870" spans="1:3" ht="15">
      <c r="A4870" s="90" t="s">
        <v>239</v>
      </c>
      <c r="B4870" s="89" t="s">
        <v>2681</v>
      </c>
      <c r="C4870" s="102" t="s">
        <v>984</v>
      </c>
    </row>
    <row r="4871" spans="1:3" ht="15">
      <c r="A4871" s="90" t="s">
        <v>239</v>
      </c>
      <c r="B4871" s="89" t="s">
        <v>3169</v>
      </c>
      <c r="C4871" s="102" t="s">
        <v>984</v>
      </c>
    </row>
    <row r="4872" spans="1:3" ht="15">
      <c r="A4872" s="90" t="s">
        <v>239</v>
      </c>
      <c r="B4872" s="89" t="s">
        <v>4529</v>
      </c>
      <c r="C4872" s="102" t="s">
        <v>984</v>
      </c>
    </row>
    <row r="4873" spans="1:3" ht="15">
      <c r="A4873" s="90" t="s">
        <v>239</v>
      </c>
      <c r="B4873" s="89" t="s">
        <v>3239</v>
      </c>
      <c r="C4873" s="102" t="s">
        <v>984</v>
      </c>
    </row>
    <row r="4874" spans="1:3" ht="15">
      <c r="A4874" s="90" t="s">
        <v>239</v>
      </c>
      <c r="B4874" s="89" t="s">
        <v>4530</v>
      </c>
      <c r="C4874" s="102" t="s">
        <v>984</v>
      </c>
    </row>
    <row r="4875" spans="1:3" ht="15">
      <c r="A4875" s="90" t="s">
        <v>239</v>
      </c>
      <c r="B4875" s="89" t="s">
        <v>3153</v>
      </c>
      <c r="C4875" s="102" t="s">
        <v>984</v>
      </c>
    </row>
    <row r="4876" spans="1:3" ht="15">
      <c r="A4876" s="90" t="s">
        <v>239</v>
      </c>
      <c r="B4876" s="89" t="s">
        <v>3155</v>
      </c>
      <c r="C4876" s="102" t="s">
        <v>984</v>
      </c>
    </row>
    <row r="4877" spans="1:3" ht="15">
      <c r="A4877" s="90" t="s">
        <v>239</v>
      </c>
      <c r="B4877" s="89" t="s">
        <v>4531</v>
      </c>
      <c r="C4877" s="102" t="s">
        <v>984</v>
      </c>
    </row>
    <row r="4878" spans="1:3" ht="15">
      <c r="A4878" s="90" t="s">
        <v>239</v>
      </c>
      <c r="B4878" s="89" t="s">
        <v>4532</v>
      </c>
      <c r="C4878" s="102" t="s">
        <v>984</v>
      </c>
    </row>
    <row r="4879" spans="1:3" ht="15">
      <c r="A4879" s="90" t="s">
        <v>239</v>
      </c>
      <c r="B4879" s="89" t="s">
        <v>3355</v>
      </c>
      <c r="C4879" s="102" t="s">
        <v>984</v>
      </c>
    </row>
    <row r="4880" spans="1:3" ht="15">
      <c r="A4880" s="90" t="s">
        <v>239</v>
      </c>
      <c r="B4880" s="89" t="s">
        <v>2670</v>
      </c>
      <c r="C4880" s="102" t="s">
        <v>984</v>
      </c>
    </row>
    <row r="4881" spans="1:3" ht="15">
      <c r="A4881" s="90" t="s">
        <v>239</v>
      </c>
      <c r="B4881" s="89" t="s">
        <v>2671</v>
      </c>
      <c r="C4881" s="102" t="s">
        <v>984</v>
      </c>
    </row>
    <row r="4882" spans="1:3" ht="15">
      <c r="A4882" s="90" t="s">
        <v>239</v>
      </c>
      <c r="B4882" s="89" t="s">
        <v>2666</v>
      </c>
      <c r="C4882" s="102" t="s">
        <v>984</v>
      </c>
    </row>
    <row r="4883" spans="1:3" ht="15">
      <c r="A4883" s="90" t="s">
        <v>239</v>
      </c>
      <c r="B4883" s="89" t="s">
        <v>2664</v>
      </c>
      <c r="C4883" s="102" t="s">
        <v>984</v>
      </c>
    </row>
    <row r="4884" spans="1:3" ht="15">
      <c r="A4884" s="90" t="s">
        <v>239</v>
      </c>
      <c r="B4884" s="89" t="s">
        <v>2667</v>
      </c>
      <c r="C4884" s="102" t="s">
        <v>984</v>
      </c>
    </row>
    <row r="4885" spans="1:3" ht="15">
      <c r="A4885" s="90" t="s">
        <v>239</v>
      </c>
      <c r="B4885" s="89" t="s">
        <v>2663</v>
      </c>
      <c r="C4885" s="102" t="s">
        <v>984</v>
      </c>
    </row>
    <row r="4886" spans="1:3" ht="15">
      <c r="A4886" s="90" t="s">
        <v>239</v>
      </c>
      <c r="B4886" s="89" t="s">
        <v>3137</v>
      </c>
      <c r="C4886" s="102" t="s">
        <v>984</v>
      </c>
    </row>
    <row r="4887" spans="1:3" ht="15">
      <c r="A4887" s="90" t="s">
        <v>239</v>
      </c>
      <c r="B4887" s="89" t="s">
        <v>712</v>
      </c>
      <c r="C4887" s="102" t="s">
        <v>984</v>
      </c>
    </row>
    <row r="4888" spans="1:3" ht="15">
      <c r="A4888" s="90" t="s">
        <v>239</v>
      </c>
      <c r="B4888" s="89" t="s">
        <v>3356</v>
      </c>
      <c r="C4888" s="102" t="s">
        <v>984</v>
      </c>
    </row>
    <row r="4889" spans="1:3" ht="15">
      <c r="A4889" s="90" t="s">
        <v>239</v>
      </c>
      <c r="B4889" s="89" t="s">
        <v>2668</v>
      </c>
      <c r="C4889" s="102" t="s">
        <v>984</v>
      </c>
    </row>
    <row r="4890" spans="1:3" ht="15">
      <c r="A4890" s="90" t="s">
        <v>239</v>
      </c>
      <c r="B4890" s="89" t="s">
        <v>3357</v>
      </c>
      <c r="C4890" s="102" t="s">
        <v>984</v>
      </c>
    </row>
    <row r="4891" spans="1:3" ht="15">
      <c r="A4891" s="90" t="s">
        <v>239</v>
      </c>
      <c r="B4891" s="89" t="s">
        <v>2672</v>
      </c>
      <c r="C4891" s="102" t="s">
        <v>984</v>
      </c>
    </row>
    <row r="4892" spans="1:3" ht="15">
      <c r="A4892" s="90" t="s">
        <v>239</v>
      </c>
      <c r="B4892" s="89" t="s">
        <v>2665</v>
      </c>
      <c r="C4892" s="102" t="s">
        <v>984</v>
      </c>
    </row>
    <row r="4893" spans="1:3" ht="15">
      <c r="A4893" s="90" t="s">
        <v>238</v>
      </c>
      <c r="B4893" s="89" t="s">
        <v>3442</v>
      </c>
      <c r="C4893" s="102" t="s">
        <v>983</v>
      </c>
    </row>
    <row r="4894" spans="1:3" ht="15">
      <c r="A4894" s="90" t="s">
        <v>238</v>
      </c>
      <c r="B4894" s="89" t="s">
        <v>4520</v>
      </c>
      <c r="C4894" s="102" t="s">
        <v>983</v>
      </c>
    </row>
    <row r="4895" spans="1:3" ht="15">
      <c r="A4895" s="90" t="s">
        <v>238</v>
      </c>
      <c r="B4895" s="89" t="s">
        <v>4362</v>
      </c>
      <c r="C4895" s="102" t="s">
        <v>983</v>
      </c>
    </row>
    <row r="4896" spans="1:3" ht="15">
      <c r="A4896" s="90" t="s">
        <v>238</v>
      </c>
      <c r="B4896" s="89" t="s">
        <v>4521</v>
      </c>
      <c r="C4896" s="102" t="s">
        <v>983</v>
      </c>
    </row>
    <row r="4897" spans="1:3" ht="15">
      <c r="A4897" s="90" t="s">
        <v>238</v>
      </c>
      <c r="B4897" s="89" t="s">
        <v>4533</v>
      </c>
      <c r="C4897" s="102" t="s">
        <v>983</v>
      </c>
    </row>
    <row r="4898" spans="1:3" ht="15">
      <c r="A4898" s="90" t="s">
        <v>238</v>
      </c>
      <c r="B4898" s="89" t="s">
        <v>4534</v>
      </c>
      <c r="C4898" s="102" t="s">
        <v>983</v>
      </c>
    </row>
    <row r="4899" spans="1:3" ht="15">
      <c r="A4899" s="90" t="s">
        <v>238</v>
      </c>
      <c r="B4899" s="89" t="s">
        <v>4535</v>
      </c>
      <c r="C4899" s="102" t="s">
        <v>983</v>
      </c>
    </row>
    <row r="4900" spans="1:3" ht="15">
      <c r="A4900" s="90" t="s">
        <v>238</v>
      </c>
      <c r="B4900" s="89" t="s">
        <v>4536</v>
      </c>
      <c r="C4900" s="102" t="s">
        <v>983</v>
      </c>
    </row>
    <row r="4901" spans="1:3" ht="15">
      <c r="A4901" s="90" t="s">
        <v>238</v>
      </c>
      <c r="B4901" s="89" t="s">
        <v>4537</v>
      </c>
      <c r="C4901" s="102" t="s">
        <v>983</v>
      </c>
    </row>
    <row r="4902" spans="1:3" ht="15">
      <c r="A4902" s="90" t="s">
        <v>238</v>
      </c>
      <c r="B4902" s="89" t="s">
        <v>3204</v>
      </c>
      <c r="C4902" s="102" t="s">
        <v>983</v>
      </c>
    </row>
    <row r="4903" spans="1:3" ht="15">
      <c r="A4903" s="90" t="s">
        <v>237</v>
      </c>
      <c r="B4903" s="89" t="s">
        <v>4538</v>
      </c>
      <c r="C4903" s="102" t="s">
        <v>982</v>
      </c>
    </row>
    <row r="4904" spans="1:3" ht="15">
      <c r="A4904" s="90" t="s">
        <v>237</v>
      </c>
      <c r="B4904" s="89" t="s">
        <v>2914</v>
      </c>
      <c r="C4904" s="102" t="s">
        <v>982</v>
      </c>
    </row>
    <row r="4905" spans="1:3" ht="15">
      <c r="A4905" s="90" t="s">
        <v>237</v>
      </c>
      <c r="B4905" s="89" t="s">
        <v>2808</v>
      </c>
      <c r="C4905" s="102" t="s">
        <v>982</v>
      </c>
    </row>
    <row r="4906" spans="1:3" ht="15">
      <c r="A4906" s="90" t="s">
        <v>237</v>
      </c>
      <c r="B4906" s="89" t="s">
        <v>2915</v>
      </c>
      <c r="C4906" s="102" t="s">
        <v>982</v>
      </c>
    </row>
    <row r="4907" spans="1:3" ht="15">
      <c r="A4907" s="90" t="s">
        <v>237</v>
      </c>
      <c r="B4907" s="89" t="s">
        <v>4539</v>
      </c>
      <c r="C4907" s="102" t="s">
        <v>982</v>
      </c>
    </row>
    <row r="4908" spans="1:3" ht="15">
      <c r="A4908" s="90" t="s">
        <v>237</v>
      </c>
      <c r="B4908" s="89" t="s">
        <v>2740</v>
      </c>
      <c r="C4908" s="102" t="s">
        <v>982</v>
      </c>
    </row>
    <row r="4909" spans="1:3" ht="15">
      <c r="A4909" s="90" t="s">
        <v>237</v>
      </c>
      <c r="B4909" s="89" t="s">
        <v>712</v>
      </c>
      <c r="C4909" s="102" t="s">
        <v>982</v>
      </c>
    </row>
    <row r="4910" spans="1:3" ht="15">
      <c r="A4910" s="90" t="s">
        <v>237</v>
      </c>
      <c r="B4910" s="89" t="s">
        <v>2917</v>
      </c>
      <c r="C4910" s="102" t="s">
        <v>982</v>
      </c>
    </row>
    <row r="4911" spans="1:3" ht="15">
      <c r="A4911" s="90" t="s">
        <v>237</v>
      </c>
      <c r="B4911" s="89" t="s">
        <v>3724</v>
      </c>
      <c r="C4911" s="102" t="s">
        <v>982</v>
      </c>
    </row>
    <row r="4912" spans="1:3" ht="15">
      <c r="A4912" s="90" t="s">
        <v>237</v>
      </c>
      <c r="B4912" s="89" t="s">
        <v>2918</v>
      </c>
      <c r="C4912" s="102" t="s">
        <v>982</v>
      </c>
    </row>
    <row r="4913" spans="1:3" ht="15">
      <c r="A4913" s="90" t="s">
        <v>237</v>
      </c>
      <c r="B4913" s="89" t="s">
        <v>2919</v>
      </c>
      <c r="C4913" s="102" t="s">
        <v>982</v>
      </c>
    </row>
    <row r="4914" spans="1:3" ht="15">
      <c r="A4914" s="90" t="s">
        <v>237</v>
      </c>
      <c r="B4914" s="89" t="s">
        <v>3153</v>
      </c>
      <c r="C4914" s="102" t="s">
        <v>982</v>
      </c>
    </row>
    <row r="4915" spans="1:3" ht="15">
      <c r="A4915" s="90" t="s">
        <v>237</v>
      </c>
      <c r="B4915" s="89" t="s">
        <v>3630</v>
      </c>
      <c r="C4915" s="102" t="s">
        <v>982</v>
      </c>
    </row>
    <row r="4916" spans="1:3" ht="15">
      <c r="A4916" s="90" t="s">
        <v>237</v>
      </c>
      <c r="B4916" s="89" t="s">
        <v>2920</v>
      </c>
      <c r="C4916" s="102" t="s">
        <v>982</v>
      </c>
    </row>
    <row r="4917" spans="1:3" ht="15">
      <c r="A4917" s="90" t="s">
        <v>237</v>
      </c>
      <c r="B4917" s="89" t="s">
        <v>2921</v>
      </c>
      <c r="C4917" s="102" t="s">
        <v>982</v>
      </c>
    </row>
    <row r="4918" spans="1:3" ht="15">
      <c r="A4918" s="90" t="s">
        <v>237</v>
      </c>
      <c r="B4918" s="89" t="s">
        <v>2922</v>
      </c>
      <c r="C4918" s="102" t="s">
        <v>982</v>
      </c>
    </row>
    <row r="4919" spans="1:3" ht="15">
      <c r="A4919" s="90" t="s">
        <v>237</v>
      </c>
      <c r="B4919" s="89" t="s">
        <v>4540</v>
      </c>
      <c r="C4919" s="102" t="s">
        <v>982</v>
      </c>
    </row>
    <row r="4920" spans="1:3" ht="15">
      <c r="A4920" s="90" t="s">
        <v>237</v>
      </c>
      <c r="B4920" s="89" t="s">
        <v>2923</v>
      </c>
      <c r="C4920" s="102" t="s">
        <v>982</v>
      </c>
    </row>
    <row r="4921" spans="1:3" ht="15">
      <c r="A4921" s="90" t="s">
        <v>237</v>
      </c>
      <c r="B4921" s="89" t="s">
        <v>3149</v>
      </c>
      <c r="C4921" s="102" t="s">
        <v>982</v>
      </c>
    </row>
    <row r="4922" spans="1:3" ht="15">
      <c r="A4922" s="90" t="s">
        <v>237</v>
      </c>
      <c r="B4922" s="89" t="s">
        <v>4541</v>
      </c>
      <c r="C4922" s="102" t="s">
        <v>982</v>
      </c>
    </row>
    <row r="4923" spans="1:3" ht="15">
      <c r="A4923" s="90" t="s">
        <v>237</v>
      </c>
      <c r="B4923" s="89" t="s">
        <v>2924</v>
      </c>
      <c r="C4923" s="102" t="s">
        <v>982</v>
      </c>
    </row>
    <row r="4924" spans="1:3" ht="15">
      <c r="A4924" s="90" t="s">
        <v>237</v>
      </c>
      <c r="B4924" s="89" t="s">
        <v>2925</v>
      </c>
      <c r="C4924" s="102" t="s">
        <v>982</v>
      </c>
    </row>
    <row r="4925" spans="1:3" ht="15">
      <c r="A4925" s="90" t="s">
        <v>237</v>
      </c>
      <c r="B4925" s="89" t="s">
        <v>4542</v>
      </c>
      <c r="C4925" s="102" t="s">
        <v>982</v>
      </c>
    </row>
    <row r="4926" spans="1:3" ht="15">
      <c r="A4926" s="90" t="s">
        <v>237</v>
      </c>
      <c r="B4926" s="89" t="s">
        <v>3346</v>
      </c>
      <c r="C4926" s="102" t="s">
        <v>982</v>
      </c>
    </row>
    <row r="4927" spans="1:3" ht="15">
      <c r="A4927" s="90" t="s">
        <v>237</v>
      </c>
      <c r="B4927" s="89" t="s">
        <v>386</v>
      </c>
      <c r="C4927" s="102" t="s">
        <v>982</v>
      </c>
    </row>
    <row r="4928" spans="1:3" ht="15">
      <c r="A4928" s="90" t="s">
        <v>237</v>
      </c>
      <c r="B4928" s="89" t="s">
        <v>3155</v>
      </c>
      <c r="C4928" s="102" t="s">
        <v>982</v>
      </c>
    </row>
    <row r="4929" spans="1:3" ht="15">
      <c r="A4929" s="90" t="s">
        <v>237</v>
      </c>
      <c r="B4929" s="89" t="s">
        <v>2927</v>
      </c>
      <c r="C4929" s="102" t="s">
        <v>982</v>
      </c>
    </row>
    <row r="4930" spans="1:3" ht="15">
      <c r="A4930" s="90" t="s">
        <v>237</v>
      </c>
      <c r="B4930" s="89" t="s">
        <v>2928</v>
      </c>
      <c r="C4930" s="102" t="s">
        <v>982</v>
      </c>
    </row>
    <row r="4931" spans="1:3" ht="15">
      <c r="A4931" s="90" t="s">
        <v>237</v>
      </c>
      <c r="B4931" s="89" t="s">
        <v>4543</v>
      </c>
      <c r="C4931" s="102" t="s">
        <v>982</v>
      </c>
    </row>
    <row r="4932" spans="1:3" ht="15">
      <c r="A4932" s="90" t="s">
        <v>237</v>
      </c>
      <c r="B4932" s="89" t="s">
        <v>2930</v>
      </c>
      <c r="C4932" s="102" t="s">
        <v>982</v>
      </c>
    </row>
    <row r="4933" spans="1:3" ht="15">
      <c r="A4933" s="90" t="s">
        <v>331</v>
      </c>
      <c r="B4933" s="89" t="s">
        <v>4538</v>
      </c>
      <c r="C4933" s="102" t="s">
        <v>1120</v>
      </c>
    </row>
    <row r="4934" spans="1:3" ht="15">
      <c r="A4934" s="90" t="s">
        <v>331</v>
      </c>
      <c r="B4934" s="89" t="s">
        <v>2914</v>
      </c>
      <c r="C4934" s="102" t="s">
        <v>1120</v>
      </c>
    </row>
    <row r="4935" spans="1:3" ht="15">
      <c r="A4935" s="90" t="s">
        <v>331</v>
      </c>
      <c r="B4935" s="89" t="s">
        <v>2808</v>
      </c>
      <c r="C4935" s="102" t="s">
        <v>1120</v>
      </c>
    </row>
    <row r="4936" spans="1:3" ht="15">
      <c r="A4936" s="90" t="s">
        <v>331</v>
      </c>
      <c r="B4936" s="89" t="s">
        <v>2915</v>
      </c>
      <c r="C4936" s="102" t="s">
        <v>1120</v>
      </c>
    </row>
    <row r="4937" spans="1:3" ht="15">
      <c r="A4937" s="90" t="s">
        <v>331</v>
      </c>
      <c r="B4937" s="89" t="s">
        <v>4539</v>
      </c>
      <c r="C4937" s="102" t="s">
        <v>1120</v>
      </c>
    </row>
    <row r="4938" spans="1:3" ht="15">
      <c r="A4938" s="90" t="s">
        <v>331</v>
      </c>
      <c r="B4938" s="89" t="s">
        <v>2740</v>
      </c>
      <c r="C4938" s="102" t="s">
        <v>1120</v>
      </c>
    </row>
    <row r="4939" spans="1:3" ht="15">
      <c r="A4939" s="90" t="s">
        <v>331</v>
      </c>
      <c r="B4939" s="89" t="s">
        <v>712</v>
      </c>
      <c r="C4939" s="102" t="s">
        <v>1120</v>
      </c>
    </row>
    <row r="4940" spans="1:3" ht="15">
      <c r="A4940" s="90" t="s">
        <v>331</v>
      </c>
      <c r="B4940" s="89" t="s">
        <v>2917</v>
      </c>
      <c r="C4940" s="102" t="s">
        <v>1120</v>
      </c>
    </row>
    <row r="4941" spans="1:3" ht="15">
      <c r="A4941" s="90" t="s">
        <v>331</v>
      </c>
      <c r="B4941" s="89" t="s">
        <v>3724</v>
      </c>
      <c r="C4941" s="102" t="s">
        <v>1120</v>
      </c>
    </row>
    <row r="4942" spans="1:3" ht="15">
      <c r="A4942" s="90" t="s">
        <v>331</v>
      </c>
      <c r="B4942" s="89" t="s">
        <v>2918</v>
      </c>
      <c r="C4942" s="102" t="s">
        <v>1120</v>
      </c>
    </row>
    <row r="4943" spans="1:3" ht="15">
      <c r="A4943" s="90" t="s">
        <v>331</v>
      </c>
      <c r="B4943" s="89" t="s">
        <v>2919</v>
      </c>
      <c r="C4943" s="102" t="s">
        <v>1120</v>
      </c>
    </row>
    <row r="4944" spans="1:3" ht="15">
      <c r="A4944" s="90" t="s">
        <v>331</v>
      </c>
      <c r="B4944" s="89" t="s">
        <v>3153</v>
      </c>
      <c r="C4944" s="102" t="s">
        <v>1120</v>
      </c>
    </row>
    <row r="4945" spans="1:3" ht="15">
      <c r="A4945" s="90" t="s">
        <v>331</v>
      </c>
      <c r="B4945" s="89" t="s">
        <v>3630</v>
      </c>
      <c r="C4945" s="102" t="s">
        <v>1120</v>
      </c>
    </row>
    <row r="4946" spans="1:3" ht="15">
      <c r="A4946" s="90" t="s">
        <v>331</v>
      </c>
      <c r="B4946" s="89" t="s">
        <v>2920</v>
      </c>
      <c r="C4946" s="102" t="s">
        <v>1120</v>
      </c>
    </row>
    <row r="4947" spans="1:3" ht="15">
      <c r="A4947" s="90" t="s">
        <v>331</v>
      </c>
      <c r="B4947" s="89" t="s">
        <v>2921</v>
      </c>
      <c r="C4947" s="102" t="s">
        <v>1120</v>
      </c>
    </row>
    <row r="4948" spans="1:3" ht="15">
      <c r="A4948" s="90" t="s">
        <v>331</v>
      </c>
      <c r="B4948" s="89" t="s">
        <v>2922</v>
      </c>
      <c r="C4948" s="102" t="s">
        <v>1120</v>
      </c>
    </row>
    <row r="4949" spans="1:3" ht="15">
      <c r="A4949" s="90" t="s">
        <v>331</v>
      </c>
      <c r="B4949" s="89" t="s">
        <v>4540</v>
      </c>
      <c r="C4949" s="102" t="s">
        <v>1120</v>
      </c>
    </row>
    <row r="4950" spans="1:3" ht="15">
      <c r="A4950" s="90" t="s">
        <v>331</v>
      </c>
      <c r="B4950" s="89" t="s">
        <v>2923</v>
      </c>
      <c r="C4950" s="102" t="s">
        <v>1120</v>
      </c>
    </row>
    <row r="4951" spans="1:3" ht="15">
      <c r="A4951" s="90" t="s">
        <v>331</v>
      </c>
      <c r="B4951" s="89" t="s">
        <v>3149</v>
      </c>
      <c r="C4951" s="102" t="s">
        <v>1120</v>
      </c>
    </row>
    <row r="4952" spans="1:3" ht="15">
      <c r="A4952" s="90" t="s">
        <v>331</v>
      </c>
      <c r="B4952" s="89" t="s">
        <v>4541</v>
      </c>
      <c r="C4952" s="102" t="s">
        <v>1120</v>
      </c>
    </row>
    <row r="4953" spans="1:3" ht="15">
      <c r="A4953" s="90" t="s">
        <v>331</v>
      </c>
      <c r="B4953" s="89" t="s">
        <v>2924</v>
      </c>
      <c r="C4953" s="102" t="s">
        <v>1120</v>
      </c>
    </row>
    <row r="4954" spans="1:3" ht="15">
      <c r="A4954" s="90" t="s">
        <v>331</v>
      </c>
      <c r="B4954" s="89" t="s">
        <v>2925</v>
      </c>
      <c r="C4954" s="102" t="s">
        <v>1120</v>
      </c>
    </row>
    <row r="4955" spans="1:3" ht="15">
      <c r="A4955" s="90" t="s">
        <v>331</v>
      </c>
      <c r="B4955" s="89" t="s">
        <v>4542</v>
      </c>
      <c r="C4955" s="102" t="s">
        <v>1120</v>
      </c>
    </row>
    <row r="4956" spans="1:3" ht="15">
      <c r="A4956" s="90" t="s">
        <v>331</v>
      </c>
      <c r="B4956" s="89" t="s">
        <v>3346</v>
      </c>
      <c r="C4956" s="102" t="s">
        <v>1120</v>
      </c>
    </row>
    <row r="4957" spans="1:3" ht="15">
      <c r="A4957" s="90" t="s">
        <v>331</v>
      </c>
      <c r="B4957" s="89" t="s">
        <v>386</v>
      </c>
      <c r="C4957" s="102" t="s">
        <v>1120</v>
      </c>
    </row>
    <row r="4958" spans="1:3" ht="15">
      <c r="A4958" s="90" t="s">
        <v>331</v>
      </c>
      <c r="B4958" s="89" t="s">
        <v>3155</v>
      </c>
      <c r="C4958" s="102" t="s">
        <v>1120</v>
      </c>
    </row>
    <row r="4959" spans="1:3" ht="15">
      <c r="A4959" s="90" t="s">
        <v>331</v>
      </c>
      <c r="B4959" s="89" t="s">
        <v>2927</v>
      </c>
      <c r="C4959" s="102" t="s">
        <v>1120</v>
      </c>
    </row>
    <row r="4960" spans="1:3" ht="15">
      <c r="A4960" s="90" t="s">
        <v>331</v>
      </c>
      <c r="B4960" s="89" t="s">
        <v>2928</v>
      </c>
      <c r="C4960" s="102" t="s">
        <v>1120</v>
      </c>
    </row>
    <row r="4961" spans="1:3" ht="15">
      <c r="A4961" s="90" t="s">
        <v>331</v>
      </c>
      <c r="B4961" s="89" t="s">
        <v>4543</v>
      </c>
      <c r="C4961" s="102" t="s">
        <v>1120</v>
      </c>
    </row>
    <row r="4962" spans="1:3" ht="15">
      <c r="A4962" s="90" t="s">
        <v>331</v>
      </c>
      <c r="B4962" s="89" t="s">
        <v>2930</v>
      </c>
      <c r="C4962" s="102" t="s">
        <v>1120</v>
      </c>
    </row>
    <row r="4963" spans="1:3" ht="15">
      <c r="A4963" s="90" t="s">
        <v>236</v>
      </c>
      <c r="B4963" s="89" t="s">
        <v>4538</v>
      </c>
      <c r="C4963" s="102" t="s">
        <v>981</v>
      </c>
    </row>
    <row r="4964" spans="1:3" ht="15">
      <c r="A4964" s="90" t="s">
        <v>236</v>
      </c>
      <c r="B4964" s="89" t="s">
        <v>2914</v>
      </c>
      <c r="C4964" s="102" t="s">
        <v>981</v>
      </c>
    </row>
    <row r="4965" spans="1:3" ht="15">
      <c r="A4965" s="90" t="s">
        <v>236</v>
      </c>
      <c r="B4965" s="89" t="s">
        <v>2808</v>
      </c>
      <c r="C4965" s="102" t="s">
        <v>981</v>
      </c>
    </row>
    <row r="4966" spans="1:3" ht="15">
      <c r="A4966" s="90" t="s">
        <v>236</v>
      </c>
      <c r="B4966" s="89" t="s">
        <v>2915</v>
      </c>
      <c r="C4966" s="102" t="s">
        <v>981</v>
      </c>
    </row>
    <row r="4967" spans="1:3" ht="15">
      <c r="A4967" s="90" t="s">
        <v>236</v>
      </c>
      <c r="B4967" s="89" t="s">
        <v>4539</v>
      </c>
      <c r="C4967" s="102" t="s">
        <v>981</v>
      </c>
    </row>
    <row r="4968" spans="1:3" ht="15">
      <c r="A4968" s="90" t="s">
        <v>236</v>
      </c>
      <c r="B4968" s="89" t="s">
        <v>2740</v>
      </c>
      <c r="C4968" s="102" t="s">
        <v>981</v>
      </c>
    </row>
    <row r="4969" spans="1:3" ht="15">
      <c r="A4969" s="90" t="s">
        <v>236</v>
      </c>
      <c r="B4969" s="89" t="s">
        <v>712</v>
      </c>
      <c r="C4969" s="102" t="s">
        <v>981</v>
      </c>
    </row>
    <row r="4970" spans="1:3" ht="15">
      <c r="A4970" s="90" t="s">
        <v>236</v>
      </c>
      <c r="B4970" s="89" t="s">
        <v>2917</v>
      </c>
      <c r="C4970" s="102" t="s">
        <v>981</v>
      </c>
    </row>
    <row r="4971" spans="1:3" ht="15">
      <c r="A4971" s="90" t="s">
        <v>236</v>
      </c>
      <c r="B4971" s="89" t="s">
        <v>3724</v>
      </c>
      <c r="C4971" s="102" t="s">
        <v>981</v>
      </c>
    </row>
    <row r="4972" spans="1:3" ht="15">
      <c r="A4972" s="90" t="s">
        <v>236</v>
      </c>
      <c r="B4972" s="89" t="s">
        <v>2918</v>
      </c>
      <c r="C4972" s="102" t="s">
        <v>981</v>
      </c>
    </row>
    <row r="4973" spans="1:3" ht="15">
      <c r="A4973" s="90" t="s">
        <v>236</v>
      </c>
      <c r="B4973" s="89" t="s">
        <v>2919</v>
      </c>
      <c r="C4973" s="102" t="s">
        <v>981</v>
      </c>
    </row>
    <row r="4974" spans="1:3" ht="15">
      <c r="A4974" s="90" t="s">
        <v>236</v>
      </c>
      <c r="B4974" s="89" t="s">
        <v>3153</v>
      </c>
      <c r="C4974" s="102" t="s">
        <v>981</v>
      </c>
    </row>
    <row r="4975" spans="1:3" ht="15">
      <c r="A4975" s="90" t="s">
        <v>236</v>
      </c>
      <c r="B4975" s="89" t="s">
        <v>3630</v>
      </c>
      <c r="C4975" s="102" t="s">
        <v>981</v>
      </c>
    </row>
    <row r="4976" spans="1:3" ht="15">
      <c r="A4976" s="90" t="s">
        <v>236</v>
      </c>
      <c r="B4976" s="89" t="s">
        <v>2920</v>
      </c>
      <c r="C4976" s="102" t="s">
        <v>981</v>
      </c>
    </row>
    <row r="4977" spans="1:3" ht="15">
      <c r="A4977" s="90" t="s">
        <v>236</v>
      </c>
      <c r="B4977" s="89" t="s">
        <v>2921</v>
      </c>
      <c r="C4977" s="102" t="s">
        <v>981</v>
      </c>
    </row>
    <row r="4978" spans="1:3" ht="15">
      <c r="A4978" s="90" t="s">
        <v>236</v>
      </c>
      <c r="B4978" s="89" t="s">
        <v>2922</v>
      </c>
      <c r="C4978" s="102" t="s">
        <v>981</v>
      </c>
    </row>
    <row r="4979" spans="1:3" ht="15">
      <c r="A4979" s="90" t="s">
        <v>236</v>
      </c>
      <c r="B4979" s="89" t="s">
        <v>4540</v>
      </c>
      <c r="C4979" s="102" t="s">
        <v>981</v>
      </c>
    </row>
    <row r="4980" spans="1:3" ht="15">
      <c r="A4980" s="90" t="s">
        <v>236</v>
      </c>
      <c r="B4980" s="89" t="s">
        <v>2923</v>
      </c>
      <c r="C4980" s="102" t="s">
        <v>981</v>
      </c>
    </row>
    <row r="4981" spans="1:3" ht="15">
      <c r="A4981" s="90" t="s">
        <v>236</v>
      </c>
      <c r="B4981" s="89" t="s">
        <v>3149</v>
      </c>
      <c r="C4981" s="102" t="s">
        <v>981</v>
      </c>
    </row>
    <row r="4982" spans="1:3" ht="15">
      <c r="A4982" s="90" t="s">
        <v>236</v>
      </c>
      <c r="B4982" s="89" t="s">
        <v>4541</v>
      </c>
      <c r="C4982" s="102" t="s">
        <v>981</v>
      </c>
    </row>
    <row r="4983" spans="1:3" ht="15">
      <c r="A4983" s="90" t="s">
        <v>236</v>
      </c>
      <c r="B4983" s="89" t="s">
        <v>2924</v>
      </c>
      <c r="C4983" s="102" t="s">
        <v>981</v>
      </c>
    </row>
    <row r="4984" spans="1:3" ht="15">
      <c r="A4984" s="90" t="s">
        <v>236</v>
      </c>
      <c r="B4984" s="89" t="s">
        <v>2925</v>
      </c>
      <c r="C4984" s="102" t="s">
        <v>981</v>
      </c>
    </row>
    <row r="4985" spans="1:3" ht="15">
      <c r="A4985" s="90" t="s">
        <v>236</v>
      </c>
      <c r="B4985" s="89" t="s">
        <v>4542</v>
      </c>
      <c r="C4985" s="102" t="s">
        <v>981</v>
      </c>
    </row>
    <row r="4986" spans="1:3" ht="15">
      <c r="A4986" s="90" t="s">
        <v>236</v>
      </c>
      <c r="B4986" s="89" t="s">
        <v>3346</v>
      </c>
      <c r="C4986" s="102" t="s">
        <v>981</v>
      </c>
    </row>
    <row r="4987" spans="1:3" ht="15">
      <c r="A4987" s="90" t="s">
        <v>236</v>
      </c>
      <c r="B4987" s="89" t="s">
        <v>386</v>
      </c>
      <c r="C4987" s="102" t="s">
        <v>981</v>
      </c>
    </row>
    <row r="4988" spans="1:3" ht="15">
      <c r="A4988" s="90" t="s">
        <v>236</v>
      </c>
      <c r="B4988" s="89" t="s">
        <v>3155</v>
      </c>
      <c r="C4988" s="102" t="s">
        <v>981</v>
      </c>
    </row>
    <row r="4989" spans="1:3" ht="15">
      <c r="A4989" s="90" t="s">
        <v>236</v>
      </c>
      <c r="B4989" s="89" t="s">
        <v>2927</v>
      </c>
      <c r="C4989" s="102" t="s">
        <v>981</v>
      </c>
    </row>
    <row r="4990" spans="1:3" ht="15">
      <c r="A4990" s="90" t="s">
        <v>236</v>
      </c>
      <c r="B4990" s="89" t="s">
        <v>2928</v>
      </c>
      <c r="C4990" s="102" t="s">
        <v>981</v>
      </c>
    </row>
    <row r="4991" spans="1:3" ht="15">
      <c r="A4991" s="90" t="s">
        <v>236</v>
      </c>
      <c r="B4991" s="89" t="s">
        <v>4543</v>
      </c>
      <c r="C4991" s="102" t="s">
        <v>981</v>
      </c>
    </row>
    <row r="4992" spans="1:3" ht="15">
      <c r="A4992" s="90" t="s">
        <v>236</v>
      </c>
      <c r="B4992" s="89" t="s">
        <v>2930</v>
      </c>
      <c r="C4992" s="102" t="s">
        <v>981</v>
      </c>
    </row>
    <row r="4993" spans="1:3" ht="15">
      <c r="A4993" s="90" t="s">
        <v>235</v>
      </c>
      <c r="B4993" s="89" t="s">
        <v>385</v>
      </c>
      <c r="C4993" s="102" t="s">
        <v>980</v>
      </c>
    </row>
    <row r="4994" spans="1:3" ht="15">
      <c r="A4994" s="90" t="s">
        <v>235</v>
      </c>
      <c r="B4994" s="89" t="s">
        <v>4544</v>
      </c>
      <c r="C4994" s="102" t="s">
        <v>980</v>
      </c>
    </row>
    <row r="4995" spans="1:3" ht="15">
      <c r="A4995" s="90" t="s">
        <v>235</v>
      </c>
      <c r="B4995" s="89" t="s">
        <v>384</v>
      </c>
      <c r="C4995" s="102" t="s">
        <v>980</v>
      </c>
    </row>
    <row r="4996" spans="1:3" ht="15">
      <c r="A4996" s="90" t="s">
        <v>235</v>
      </c>
      <c r="B4996" s="89" t="s">
        <v>4545</v>
      </c>
      <c r="C4996" s="102" t="s">
        <v>980</v>
      </c>
    </row>
    <row r="4997" spans="1:3" ht="15">
      <c r="A4997" s="90" t="s">
        <v>235</v>
      </c>
      <c r="B4997" s="89" t="s">
        <v>4546</v>
      </c>
      <c r="C4997" s="102" t="s">
        <v>980</v>
      </c>
    </row>
    <row r="4998" spans="1:3" ht="15">
      <c r="A4998" s="90" t="s">
        <v>235</v>
      </c>
      <c r="B4998" s="89" t="s">
        <v>4547</v>
      </c>
      <c r="C4998" s="102" t="s">
        <v>980</v>
      </c>
    </row>
    <row r="4999" spans="1:3" ht="15">
      <c r="A4999" s="90" t="s">
        <v>235</v>
      </c>
      <c r="B4999" s="89" t="s">
        <v>4548</v>
      </c>
      <c r="C4999" s="102" t="s">
        <v>980</v>
      </c>
    </row>
    <row r="5000" spans="1:3" ht="15">
      <c r="A5000" s="90" t="s">
        <v>235</v>
      </c>
      <c r="B5000" s="89" t="s">
        <v>3204</v>
      </c>
      <c r="C5000" s="102" t="s">
        <v>980</v>
      </c>
    </row>
    <row r="5001" spans="1:3" ht="15">
      <c r="A5001" s="90" t="s">
        <v>235</v>
      </c>
      <c r="B5001" s="89" t="s">
        <v>3141</v>
      </c>
      <c r="C5001" s="102" t="s">
        <v>980</v>
      </c>
    </row>
    <row r="5002" spans="1:3" ht="15">
      <c r="A5002" s="90" t="s">
        <v>235</v>
      </c>
      <c r="B5002" s="89" t="s">
        <v>4549</v>
      </c>
      <c r="C5002" s="102" t="s">
        <v>980</v>
      </c>
    </row>
    <row r="5003" spans="1:3" ht="15">
      <c r="A5003" s="90" t="s">
        <v>235</v>
      </c>
      <c r="B5003" s="89" t="s">
        <v>2970</v>
      </c>
      <c r="C5003" s="102" t="s">
        <v>980</v>
      </c>
    </row>
    <row r="5004" spans="1:3" ht="15">
      <c r="A5004" s="90" t="s">
        <v>235</v>
      </c>
      <c r="B5004" s="89" t="s">
        <v>4550</v>
      </c>
      <c r="C5004" s="102" t="s">
        <v>980</v>
      </c>
    </row>
    <row r="5005" spans="1:3" ht="15">
      <c r="A5005" s="90" t="s">
        <v>235</v>
      </c>
      <c r="B5005" s="89" t="s">
        <v>2754</v>
      </c>
      <c r="C5005" s="102" t="s">
        <v>980</v>
      </c>
    </row>
    <row r="5006" spans="1:3" ht="15">
      <c r="A5006" s="90" t="s">
        <v>235</v>
      </c>
      <c r="B5006" s="89" t="s">
        <v>3882</v>
      </c>
      <c r="C5006" s="102" t="s">
        <v>980</v>
      </c>
    </row>
    <row r="5007" spans="1:3" ht="15">
      <c r="A5007" s="90" t="s">
        <v>235</v>
      </c>
      <c r="B5007" s="89" t="s">
        <v>2716</v>
      </c>
      <c r="C5007" s="102" t="s">
        <v>980</v>
      </c>
    </row>
    <row r="5008" spans="1:3" ht="15">
      <c r="A5008" s="90" t="s">
        <v>235</v>
      </c>
      <c r="B5008" s="89" t="s">
        <v>3239</v>
      </c>
      <c r="C5008" s="102" t="s">
        <v>980</v>
      </c>
    </row>
    <row r="5009" spans="1:3" ht="15">
      <c r="A5009" s="90" t="s">
        <v>235</v>
      </c>
      <c r="B5009" s="89" t="s">
        <v>4551</v>
      </c>
      <c r="C5009" s="102" t="s">
        <v>980</v>
      </c>
    </row>
    <row r="5010" spans="1:3" ht="15">
      <c r="A5010" s="90" t="s">
        <v>234</v>
      </c>
      <c r="B5010" s="89" t="s">
        <v>4552</v>
      </c>
      <c r="C5010" s="102" t="s">
        <v>979</v>
      </c>
    </row>
    <row r="5011" spans="1:3" ht="15">
      <c r="A5011" s="90" t="s">
        <v>234</v>
      </c>
      <c r="B5011" s="89" t="s">
        <v>4553</v>
      </c>
      <c r="C5011" s="102" t="s">
        <v>979</v>
      </c>
    </row>
    <row r="5012" spans="1:3" ht="15">
      <c r="A5012" s="90" t="s">
        <v>234</v>
      </c>
      <c r="B5012" s="89" t="s">
        <v>4186</v>
      </c>
      <c r="C5012" s="102" t="s">
        <v>979</v>
      </c>
    </row>
    <row r="5013" spans="1:3" ht="15">
      <c r="A5013" s="90" t="s">
        <v>234</v>
      </c>
      <c r="B5013" s="89" t="s">
        <v>3155</v>
      </c>
      <c r="C5013" s="102" t="s">
        <v>979</v>
      </c>
    </row>
    <row r="5014" spans="1:3" ht="15">
      <c r="A5014" s="90" t="s">
        <v>234</v>
      </c>
      <c r="B5014" s="89" t="s">
        <v>3309</v>
      </c>
      <c r="C5014" s="102" t="s">
        <v>979</v>
      </c>
    </row>
    <row r="5015" spans="1:3" ht="15">
      <c r="A5015" s="90" t="s">
        <v>234</v>
      </c>
      <c r="B5015" s="89" t="s">
        <v>3362</v>
      </c>
      <c r="C5015" s="102" t="s">
        <v>979</v>
      </c>
    </row>
    <row r="5016" spans="1:3" ht="15">
      <c r="A5016" s="90" t="s">
        <v>234</v>
      </c>
      <c r="B5016" s="89" t="s">
        <v>4518</v>
      </c>
      <c r="C5016" s="102" t="s">
        <v>979</v>
      </c>
    </row>
    <row r="5017" spans="1:3" ht="15">
      <c r="A5017" s="90" t="s">
        <v>234</v>
      </c>
      <c r="B5017" s="89" t="s">
        <v>4554</v>
      </c>
      <c r="C5017" s="102" t="s">
        <v>979</v>
      </c>
    </row>
    <row r="5018" spans="1:3" ht="15">
      <c r="A5018" s="90" t="s">
        <v>234</v>
      </c>
      <c r="B5018" s="89" t="s">
        <v>3211</v>
      </c>
      <c r="C5018" s="102" t="s">
        <v>979</v>
      </c>
    </row>
    <row r="5019" spans="1:3" ht="15">
      <c r="A5019" s="90" t="s">
        <v>234</v>
      </c>
      <c r="B5019" s="89" t="s">
        <v>2716</v>
      </c>
      <c r="C5019" s="102" t="s">
        <v>979</v>
      </c>
    </row>
    <row r="5020" spans="1:3" ht="15">
      <c r="A5020" s="90" t="s">
        <v>234</v>
      </c>
      <c r="B5020" s="89" t="s">
        <v>3034</v>
      </c>
      <c r="C5020" s="102" t="s">
        <v>979</v>
      </c>
    </row>
    <row r="5021" spans="1:3" ht="15">
      <c r="A5021" s="90" t="s">
        <v>234</v>
      </c>
      <c r="B5021" s="89" t="s">
        <v>2806</v>
      </c>
      <c r="C5021" s="102" t="s">
        <v>979</v>
      </c>
    </row>
    <row r="5022" spans="1:3" ht="15">
      <c r="A5022" s="90" t="s">
        <v>234</v>
      </c>
      <c r="B5022" s="89" t="s">
        <v>4555</v>
      </c>
      <c r="C5022" s="102" t="s">
        <v>979</v>
      </c>
    </row>
    <row r="5023" spans="1:3" ht="15">
      <c r="A5023" s="90" t="s">
        <v>234</v>
      </c>
      <c r="B5023" s="89" t="s">
        <v>2738</v>
      </c>
      <c r="C5023" s="102" t="s">
        <v>979</v>
      </c>
    </row>
    <row r="5024" spans="1:3" ht="15">
      <c r="A5024" s="90" t="s">
        <v>234</v>
      </c>
      <c r="B5024" s="89">
        <v>19</v>
      </c>
      <c r="C5024" s="102" t="s">
        <v>979</v>
      </c>
    </row>
    <row r="5025" spans="1:3" ht="15">
      <c r="A5025" s="90" t="s">
        <v>234</v>
      </c>
      <c r="B5025" s="89" t="s">
        <v>4556</v>
      </c>
      <c r="C5025" s="102" t="s">
        <v>979</v>
      </c>
    </row>
    <row r="5026" spans="1:3" ht="15">
      <c r="A5026" s="90" t="s">
        <v>234</v>
      </c>
      <c r="B5026" s="89" t="s">
        <v>4557</v>
      </c>
      <c r="C5026" s="102" t="s">
        <v>979</v>
      </c>
    </row>
    <row r="5027" spans="1:3" ht="15">
      <c r="A5027" s="90" t="s">
        <v>234</v>
      </c>
      <c r="B5027" s="89" t="s">
        <v>2890</v>
      </c>
      <c r="C5027" s="102" t="s">
        <v>979</v>
      </c>
    </row>
    <row r="5028" spans="1:3" ht="15">
      <c r="A5028" s="90" t="s">
        <v>234</v>
      </c>
      <c r="B5028" s="89" t="s">
        <v>2708</v>
      </c>
      <c r="C5028" s="102" t="s">
        <v>979</v>
      </c>
    </row>
    <row r="5029" spans="1:3" ht="15">
      <c r="A5029" s="90" t="s">
        <v>234</v>
      </c>
      <c r="B5029" s="89" t="s">
        <v>712</v>
      </c>
      <c r="C5029" s="102" t="s">
        <v>979</v>
      </c>
    </row>
    <row r="5030" spans="1:3" ht="15">
      <c r="A5030" s="90" t="s">
        <v>234</v>
      </c>
      <c r="B5030" s="89" t="s">
        <v>4558</v>
      </c>
      <c r="C5030" s="102" t="s">
        <v>979</v>
      </c>
    </row>
    <row r="5031" spans="1:3" ht="15">
      <c r="A5031" s="90" t="s">
        <v>234</v>
      </c>
      <c r="B5031" s="89" t="s">
        <v>4559</v>
      </c>
      <c r="C5031" s="102" t="s">
        <v>979</v>
      </c>
    </row>
    <row r="5032" spans="1:3" ht="15">
      <c r="A5032" s="90" t="s">
        <v>234</v>
      </c>
      <c r="B5032" s="89" t="s">
        <v>4560</v>
      </c>
      <c r="C5032" s="102" t="s">
        <v>979</v>
      </c>
    </row>
    <row r="5033" spans="1:3" ht="15">
      <c r="A5033" s="90" t="s">
        <v>234</v>
      </c>
      <c r="B5033" s="89" t="s">
        <v>4561</v>
      </c>
      <c r="C5033" s="102" t="s">
        <v>979</v>
      </c>
    </row>
    <row r="5034" spans="1:3" ht="15">
      <c r="A5034" s="90" t="s">
        <v>234</v>
      </c>
      <c r="B5034" s="89" t="s">
        <v>3592</v>
      </c>
      <c r="C5034" s="102" t="s">
        <v>979</v>
      </c>
    </row>
    <row r="5035" spans="1:3" ht="15">
      <c r="A5035" s="90" t="s">
        <v>234</v>
      </c>
      <c r="B5035" s="89" t="s">
        <v>4562</v>
      </c>
      <c r="C5035" s="102" t="s">
        <v>979</v>
      </c>
    </row>
    <row r="5036" spans="1:3" ht="15">
      <c r="A5036" s="90" t="s">
        <v>234</v>
      </c>
      <c r="B5036" s="89" t="s">
        <v>4563</v>
      </c>
      <c r="C5036" s="102" t="s">
        <v>979</v>
      </c>
    </row>
    <row r="5037" spans="1:3" ht="15">
      <c r="A5037" s="90" t="s">
        <v>234</v>
      </c>
      <c r="B5037" s="89" t="s">
        <v>4564</v>
      </c>
      <c r="C5037" s="102" t="s">
        <v>979</v>
      </c>
    </row>
    <row r="5038" spans="1:3" ht="15">
      <c r="A5038" s="90" t="s">
        <v>234</v>
      </c>
      <c r="B5038" s="89" t="s">
        <v>3957</v>
      </c>
      <c r="C5038" s="102" t="s">
        <v>979</v>
      </c>
    </row>
    <row r="5039" spans="1:3" ht="15">
      <c r="A5039" s="90" t="s">
        <v>233</v>
      </c>
      <c r="B5039" s="89" t="s">
        <v>4565</v>
      </c>
      <c r="C5039" s="102" t="s">
        <v>978</v>
      </c>
    </row>
    <row r="5040" spans="1:3" ht="15">
      <c r="A5040" s="90" t="s">
        <v>233</v>
      </c>
      <c r="B5040" s="89" t="s">
        <v>381</v>
      </c>
      <c r="C5040" s="102" t="s">
        <v>978</v>
      </c>
    </row>
    <row r="5041" spans="1:3" ht="15">
      <c r="A5041" s="90" t="s">
        <v>233</v>
      </c>
      <c r="B5041" s="89" t="s">
        <v>380</v>
      </c>
      <c r="C5041" s="102" t="s">
        <v>978</v>
      </c>
    </row>
    <row r="5042" spans="1:3" ht="15">
      <c r="A5042" s="90" t="s">
        <v>233</v>
      </c>
      <c r="B5042" s="89" t="s">
        <v>4566</v>
      </c>
      <c r="C5042" s="102" t="s">
        <v>978</v>
      </c>
    </row>
    <row r="5043" spans="1:3" ht="15">
      <c r="A5043" s="90" t="s">
        <v>233</v>
      </c>
      <c r="B5043" s="89" t="s">
        <v>4567</v>
      </c>
      <c r="C5043" s="102" t="s">
        <v>978</v>
      </c>
    </row>
    <row r="5044" spans="1:3" ht="15">
      <c r="A5044" s="90" t="s">
        <v>233</v>
      </c>
      <c r="B5044" s="89" t="s">
        <v>3490</v>
      </c>
      <c r="C5044" s="102" t="s">
        <v>978</v>
      </c>
    </row>
    <row r="5045" spans="1:3" ht="15">
      <c r="A5045" s="90" t="s">
        <v>233</v>
      </c>
      <c r="B5045" s="89" t="s">
        <v>712</v>
      </c>
      <c r="C5045" s="102" t="s">
        <v>978</v>
      </c>
    </row>
    <row r="5046" spans="1:3" ht="15">
      <c r="A5046" s="90" t="s">
        <v>233</v>
      </c>
      <c r="B5046" s="89" t="s">
        <v>3141</v>
      </c>
      <c r="C5046" s="102" t="s">
        <v>978</v>
      </c>
    </row>
    <row r="5047" spans="1:3" ht="15">
      <c r="A5047" s="90" t="s">
        <v>232</v>
      </c>
      <c r="B5047" s="89" t="s">
        <v>3204</v>
      </c>
      <c r="C5047" s="102" t="s">
        <v>977</v>
      </c>
    </row>
    <row r="5048" spans="1:3" ht="15">
      <c r="A5048" s="90" t="s">
        <v>232</v>
      </c>
      <c r="B5048" s="89" t="s">
        <v>2762</v>
      </c>
      <c r="C5048" s="102" t="s">
        <v>977</v>
      </c>
    </row>
    <row r="5049" spans="1:3" ht="15">
      <c r="A5049" s="90" t="s">
        <v>232</v>
      </c>
      <c r="B5049" s="89" t="s">
        <v>4334</v>
      </c>
      <c r="C5049" s="102" t="s">
        <v>977</v>
      </c>
    </row>
    <row r="5050" spans="1:3" ht="15">
      <c r="A5050" s="90" t="s">
        <v>232</v>
      </c>
      <c r="B5050" s="89" t="s">
        <v>3347</v>
      </c>
      <c r="C5050" s="102" t="s">
        <v>977</v>
      </c>
    </row>
    <row r="5051" spans="1:3" ht="15">
      <c r="A5051" s="90" t="s">
        <v>232</v>
      </c>
      <c r="B5051" s="89" t="s">
        <v>3227</v>
      </c>
      <c r="C5051" s="102" t="s">
        <v>977</v>
      </c>
    </row>
    <row r="5052" spans="1:3" ht="15">
      <c r="A5052" s="90" t="s">
        <v>232</v>
      </c>
      <c r="B5052" s="89" t="s">
        <v>3155</v>
      </c>
      <c r="C5052" s="102" t="s">
        <v>977</v>
      </c>
    </row>
    <row r="5053" spans="1:3" ht="15">
      <c r="A5053" s="90" t="s">
        <v>232</v>
      </c>
      <c r="B5053" s="89" t="s">
        <v>3205</v>
      </c>
      <c r="C5053" s="102" t="s">
        <v>977</v>
      </c>
    </row>
    <row r="5054" spans="1:3" ht="15">
      <c r="A5054" s="90" t="s">
        <v>232</v>
      </c>
      <c r="B5054" s="89" t="s">
        <v>3253</v>
      </c>
      <c r="C5054" s="102" t="s">
        <v>977</v>
      </c>
    </row>
    <row r="5055" spans="1:3" ht="15">
      <c r="A5055" s="90" t="s">
        <v>349</v>
      </c>
      <c r="B5055" s="89" t="s">
        <v>3908</v>
      </c>
      <c r="C5055" s="102" t="s">
        <v>1205</v>
      </c>
    </row>
    <row r="5056" spans="1:3" ht="15">
      <c r="A5056" s="90" t="s">
        <v>349</v>
      </c>
      <c r="B5056" s="89" t="s">
        <v>4568</v>
      </c>
      <c r="C5056" s="102" t="s">
        <v>1205</v>
      </c>
    </row>
    <row r="5057" spans="1:3" ht="15">
      <c r="A5057" s="90" t="s">
        <v>349</v>
      </c>
      <c r="B5057" s="89" t="s">
        <v>712</v>
      </c>
      <c r="C5057" s="102" t="s">
        <v>1205</v>
      </c>
    </row>
    <row r="5058" spans="1:3" ht="15">
      <c r="A5058" s="90" t="s">
        <v>349</v>
      </c>
      <c r="B5058" s="89" t="s">
        <v>3019</v>
      </c>
      <c r="C5058" s="102" t="s">
        <v>1205</v>
      </c>
    </row>
    <row r="5059" spans="1:3" ht="15">
      <c r="A5059" s="90" t="s">
        <v>349</v>
      </c>
      <c r="B5059" s="89" t="s">
        <v>3137</v>
      </c>
      <c r="C5059" s="102" t="s">
        <v>1205</v>
      </c>
    </row>
    <row r="5060" spans="1:3" ht="15">
      <c r="A5060" s="90" t="s">
        <v>349</v>
      </c>
      <c r="B5060" s="89" t="s">
        <v>4569</v>
      </c>
      <c r="C5060" s="102" t="s">
        <v>1205</v>
      </c>
    </row>
    <row r="5061" spans="1:3" ht="15">
      <c r="A5061" s="90" t="s">
        <v>349</v>
      </c>
      <c r="B5061" s="89" t="s">
        <v>4570</v>
      </c>
      <c r="C5061" s="102" t="s">
        <v>1205</v>
      </c>
    </row>
    <row r="5062" spans="1:3" ht="15">
      <c r="A5062" s="90" t="s">
        <v>349</v>
      </c>
      <c r="B5062" s="89" t="s">
        <v>4571</v>
      </c>
      <c r="C5062" s="102" t="s">
        <v>1205</v>
      </c>
    </row>
    <row r="5063" spans="1:3" ht="15">
      <c r="A5063" s="90" t="s">
        <v>349</v>
      </c>
      <c r="B5063" s="89" t="s">
        <v>4572</v>
      </c>
      <c r="C5063" s="102" t="s">
        <v>1205</v>
      </c>
    </row>
    <row r="5064" spans="1:3" ht="15">
      <c r="A5064" s="90" t="s">
        <v>349</v>
      </c>
      <c r="B5064" s="89" t="s">
        <v>4573</v>
      </c>
      <c r="C5064" s="102" t="s">
        <v>1205</v>
      </c>
    </row>
    <row r="5065" spans="1:3" ht="15">
      <c r="A5065" s="90" t="s">
        <v>349</v>
      </c>
      <c r="B5065" s="89" t="s">
        <v>4574</v>
      </c>
      <c r="C5065" s="102" t="s">
        <v>1205</v>
      </c>
    </row>
    <row r="5066" spans="1:3" ht="15">
      <c r="A5066" s="90" t="s">
        <v>349</v>
      </c>
      <c r="B5066" s="89" t="s">
        <v>3426</v>
      </c>
      <c r="C5066" s="102" t="s">
        <v>1158</v>
      </c>
    </row>
    <row r="5067" spans="1:3" ht="15">
      <c r="A5067" s="90" t="s">
        <v>349</v>
      </c>
      <c r="B5067" s="89" t="s">
        <v>3204</v>
      </c>
      <c r="C5067" s="102" t="s">
        <v>1158</v>
      </c>
    </row>
    <row r="5068" spans="1:3" ht="15">
      <c r="A5068" s="90" t="s">
        <v>349</v>
      </c>
      <c r="B5068" s="89" t="s">
        <v>3368</v>
      </c>
      <c r="C5068" s="102" t="s">
        <v>1158</v>
      </c>
    </row>
    <row r="5069" spans="1:3" ht="15">
      <c r="A5069" s="90" t="s">
        <v>349</v>
      </c>
      <c r="B5069" s="89" t="s">
        <v>2975</v>
      </c>
      <c r="C5069" s="102" t="s">
        <v>1158</v>
      </c>
    </row>
    <row r="5070" spans="1:3" ht="15">
      <c r="A5070" s="90" t="s">
        <v>349</v>
      </c>
      <c r="B5070" s="89" t="s">
        <v>2957</v>
      </c>
      <c r="C5070" s="102" t="s">
        <v>1158</v>
      </c>
    </row>
    <row r="5071" spans="1:3" ht="15">
      <c r="A5071" s="90" t="s">
        <v>349</v>
      </c>
      <c r="B5071" s="89" t="s">
        <v>3303</v>
      </c>
      <c r="C5071" s="102" t="s">
        <v>1158</v>
      </c>
    </row>
    <row r="5072" spans="1:3" ht="15">
      <c r="A5072" s="90" t="s">
        <v>349</v>
      </c>
      <c r="B5072" s="89" t="s">
        <v>4575</v>
      </c>
      <c r="C5072" s="102" t="s">
        <v>1158</v>
      </c>
    </row>
    <row r="5073" spans="1:3" ht="15">
      <c r="A5073" s="90" t="s">
        <v>349</v>
      </c>
      <c r="B5073" s="89" t="s">
        <v>4576</v>
      </c>
      <c r="C5073" s="102" t="s">
        <v>1158</v>
      </c>
    </row>
    <row r="5074" spans="1:3" ht="15">
      <c r="A5074" s="90" t="s">
        <v>349</v>
      </c>
      <c r="B5074" s="89" t="s">
        <v>4577</v>
      </c>
      <c r="C5074" s="102" t="s">
        <v>1158</v>
      </c>
    </row>
    <row r="5075" spans="1:3" ht="15">
      <c r="A5075" s="90" t="s">
        <v>349</v>
      </c>
      <c r="B5075" s="89" t="s">
        <v>3201</v>
      </c>
      <c r="C5075" s="102" t="s">
        <v>1158</v>
      </c>
    </row>
    <row r="5076" spans="1:3" ht="15">
      <c r="A5076" s="90" t="s">
        <v>349</v>
      </c>
      <c r="B5076" s="89" t="s">
        <v>4578</v>
      </c>
      <c r="C5076" s="102" t="s">
        <v>1158</v>
      </c>
    </row>
    <row r="5077" spans="1:3" ht="15">
      <c r="A5077" s="90" t="s">
        <v>349</v>
      </c>
      <c r="B5077" s="89" t="s">
        <v>3609</v>
      </c>
      <c r="C5077" s="102" t="s">
        <v>1158</v>
      </c>
    </row>
    <row r="5078" spans="1:3" ht="15">
      <c r="A5078" s="90" t="s">
        <v>349</v>
      </c>
      <c r="B5078" s="89" t="s">
        <v>4579</v>
      </c>
      <c r="C5078" s="102" t="s">
        <v>1158</v>
      </c>
    </row>
    <row r="5079" spans="1:3" ht="15">
      <c r="A5079" s="90" t="s">
        <v>349</v>
      </c>
      <c r="B5079" s="89" t="s">
        <v>3069</v>
      </c>
      <c r="C5079" s="102" t="s">
        <v>1158</v>
      </c>
    </row>
    <row r="5080" spans="1:3" ht="15">
      <c r="A5080" s="90" t="s">
        <v>349</v>
      </c>
      <c r="B5080" s="89" t="s">
        <v>4580</v>
      </c>
      <c r="C5080" s="102" t="s">
        <v>1158</v>
      </c>
    </row>
    <row r="5081" spans="1:3" ht="15">
      <c r="A5081" s="90" t="s">
        <v>349</v>
      </c>
      <c r="B5081" s="89" t="s">
        <v>3289</v>
      </c>
      <c r="C5081" s="102" t="s">
        <v>1158</v>
      </c>
    </row>
    <row r="5082" spans="1:3" ht="15">
      <c r="A5082" s="90" t="s">
        <v>349</v>
      </c>
      <c r="B5082" s="89" t="s">
        <v>3155</v>
      </c>
      <c r="C5082" s="102" t="s">
        <v>1158</v>
      </c>
    </row>
    <row r="5083" spans="1:3" ht="15">
      <c r="A5083" s="90" t="s">
        <v>349</v>
      </c>
      <c r="B5083" s="89" t="s">
        <v>2733</v>
      </c>
      <c r="C5083" s="102" t="s">
        <v>1158</v>
      </c>
    </row>
    <row r="5084" spans="1:3" ht="15">
      <c r="A5084" s="90" t="s">
        <v>349</v>
      </c>
      <c r="B5084" s="89" t="s">
        <v>2946</v>
      </c>
      <c r="C5084" s="102" t="s">
        <v>1158</v>
      </c>
    </row>
    <row r="5085" spans="1:3" ht="15">
      <c r="A5085" s="90" t="s">
        <v>349</v>
      </c>
      <c r="B5085" s="89" t="s">
        <v>2967</v>
      </c>
      <c r="C5085" s="102" t="s">
        <v>1158</v>
      </c>
    </row>
    <row r="5086" spans="1:3" ht="15">
      <c r="A5086" s="90" t="s">
        <v>349</v>
      </c>
      <c r="B5086" s="89" t="s">
        <v>3362</v>
      </c>
      <c r="C5086" s="102" t="s">
        <v>1158</v>
      </c>
    </row>
    <row r="5087" spans="1:3" ht="15">
      <c r="A5087" s="90" t="s">
        <v>349</v>
      </c>
      <c r="B5087" s="89" t="s">
        <v>3305</v>
      </c>
      <c r="C5087" s="102" t="s">
        <v>1158</v>
      </c>
    </row>
    <row r="5088" spans="1:3" ht="15">
      <c r="A5088" s="90" t="s">
        <v>349</v>
      </c>
      <c r="B5088" s="89" t="s">
        <v>2711</v>
      </c>
      <c r="C5088" s="102" t="s">
        <v>1158</v>
      </c>
    </row>
    <row r="5089" spans="1:3" ht="15">
      <c r="A5089" s="90" t="s">
        <v>349</v>
      </c>
      <c r="B5089" s="89" t="s">
        <v>3759</v>
      </c>
      <c r="C5089" s="102" t="s">
        <v>1158</v>
      </c>
    </row>
    <row r="5090" spans="1:3" ht="15">
      <c r="A5090" s="90" t="s">
        <v>349</v>
      </c>
      <c r="B5090" s="89" t="s">
        <v>2681</v>
      </c>
      <c r="C5090" s="102" t="s">
        <v>1158</v>
      </c>
    </row>
    <row r="5091" spans="1:3" ht="15">
      <c r="A5091" s="90" t="s">
        <v>349</v>
      </c>
      <c r="B5091" s="89" t="s">
        <v>3744</v>
      </c>
      <c r="C5091" s="102" t="s">
        <v>1158</v>
      </c>
    </row>
    <row r="5092" spans="1:3" ht="15">
      <c r="A5092" s="90" t="s">
        <v>349</v>
      </c>
      <c r="B5092" s="89" t="s">
        <v>4581</v>
      </c>
      <c r="C5092" s="102" t="s">
        <v>1158</v>
      </c>
    </row>
    <row r="5093" spans="1:3" ht="15">
      <c r="A5093" s="90" t="s">
        <v>349</v>
      </c>
      <c r="B5093" s="89" t="s">
        <v>4582</v>
      </c>
      <c r="C5093" s="102" t="s">
        <v>1158</v>
      </c>
    </row>
    <row r="5094" spans="1:3" ht="15">
      <c r="A5094" s="90" t="s">
        <v>349</v>
      </c>
      <c r="B5094" s="89" t="s">
        <v>4583</v>
      </c>
      <c r="C5094" s="102" t="s">
        <v>1158</v>
      </c>
    </row>
    <row r="5095" spans="1:3" ht="15">
      <c r="A5095" s="90" t="s">
        <v>349</v>
      </c>
      <c r="B5095" s="89" t="s">
        <v>4584</v>
      </c>
      <c r="C5095" s="102" t="s">
        <v>1158</v>
      </c>
    </row>
    <row r="5096" spans="1:3" ht="15">
      <c r="A5096" s="90" t="s">
        <v>349</v>
      </c>
      <c r="B5096" s="89" t="s">
        <v>4585</v>
      </c>
      <c r="C5096" s="102" t="s">
        <v>1158</v>
      </c>
    </row>
    <row r="5097" spans="1:3" ht="15">
      <c r="A5097" s="90" t="s">
        <v>349</v>
      </c>
      <c r="B5097" s="89" t="s">
        <v>3141</v>
      </c>
      <c r="C5097" s="102" t="s">
        <v>1158</v>
      </c>
    </row>
    <row r="5098" spans="1:3" ht="15">
      <c r="A5098" s="90" t="s">
        <v>349</v>
      </c>
      <c r="B5098" s="89" t="s">
        <v>4586</v>
      </c>
      <c r="C5098" s="102" t="s">
        <v>1158</v>
      </c>
    </row>
    <row r="5099" spans="1:3" ht="15">
      <c r="A5099" s="90" t="s">
        <v>349</v>
      </c>
      <c r="B5099" s="89" t="s">
        <v>4587</v>
      </c>
      <c r="C5099" s="102" t="s">
        <v>1158</v>
      </c>
    </row>
    <row r="5100" spans="1:3" ht="15">
      <c r="A5100" s="90" t="s">
        <v>349</v>
      </c>
      <c r="B5100" s="89" t="s">
        <v>4588</v>
      </c>
      <c r="C5100" s="102" t="s">
        <v>1158</v>
      </c>
    </row>
    <row r="5101" spans="1:3" ht="15">
      <c r="A5101" s="90" t="s">
        <v>348</v>
      </c>
      <c r="B5101" s="89" t="s">
        <v>349</v>
      </c>
      <c r="C5101" s="102" t="s">
        <v>1157</v>
      </c>
    </row>
    <row r="5102" spans="1:3" ht="15">
      <c r="A5102" s="90" t="s">
        <v>348</v>
      </c>
      <c r="B5102" s="89" t="s">
        <v>3204</v>
      </c>
      <c r="C5102" s="102" t="s">
        <v>1157</v>
      </c>
    </row>
    <row r="5103" spans="1:3" ht="15">
      <c r="A5103" s="90" t="s">
        <v>348</v>
      </c>
      <c r="B5103" s="89" t="s">
        <v>4589</v>
      </c>
      <c r="C5103" s="102" t="s">
        <v>1157</v>
      </c>
    </row>
    <row r="5104" spans="1:3" ht="15">
      <c r="A5104" s="90" t="s">
        <v>348</v>
      </c>
      <c r="B5104" s="89" t="s">
        <v>3137</v>
      </c>
      <c r="C5104" s="102" t="s">
        <v>1157</v>
      </c>
    </row>
    <row r="5105" spans="1:3" ht="15">
      <c r="A5105" s="90" t="s">
        <v>348</v>
      </c>
      <c r="B5105" s="89" t="s">
        <v>4590</v>
      </c>
      <c r="C5105" s="102" t="s">
        <v>1157</v>
      </c>
    </row>
    <row r="5106" spans="1:3" ht="15">
      <c r="A5106" s="90" t="s">
        <v>348</v>
      </c>
      <c r="B5106" s="89" t="s">
        <v>4591</v>
      </c>
      <c r="C5106" s="102" t="s">
        <v>1157</v>
      </c>
    </row>
    <row r="5107" spans="1:3" ht="15">
      <c r="A5107" s="90" t="s">
        <v>348</v>
      </c>
      <c r="B5107" s="89" t="s">
        <v>3211</v>
      </c>
      <c r="C5107" s="102" t="s">
        <v>1157</v>
      </c>
    </row>
    <row r="5108" spans="1:3" ht="15">
      <c r="A5108" s="90" t="s">
        <v>348</v>
      </c>
      <c r="B5108" s="89" t="s">
        <v>3060</v>
      </c>
      <c r="C5108" s="102" t="s">
        <v>1157</v>
      </c>
    </row>
    <row r="5109" spans="1:3" ht="15">
      <c r="A5109" s="90" t="s">
        <v>348</v>
      </c>
      <c r="B5109" s="89" t="s">
        <v>3305</v>
      </c>
      <c r="C5109" s="102" t="s">
        <v>1157</v>
      </c>
    </row>
    <row r="5110" spans="1:3" ht="15">
      <c r="A5110" s="90" t="s">
        <v>348</v>
      </c>
      <c r="B5110" s="89" t="s">
        <v>4592</v>
      </c>
      <c r="C5110" s="102" t="s">
        <v>1157</v>
      </c>
    </row>
    <row r="5111" spans="1:3" ht="15">
      <c r="A5111" s="90" t="s">
        <v>348</v>
      </c>
      <c r="B5111" s="89" t="s">
        <v>4578</v>
      </c>
      <c r="C5111" s="102" t="s">
        <v>1157</v>
      </c>
    </row>
    <row r="5112" spans="1:3" ht="15">
      <c r="A5112" s="90" t="s">
        <v>348</v>
      </c>
      <c r="B5112" s="89" t="s">
        <v>3141</v>
      </c>
      <c r="C5112" s="102" t="s">
        <v>1157</v>
      </c>
    </row>
    <row r="5113" spans="1:3" ht="15">
      <c r="A5113" s="90" t="s">
        <v>348</v>
      </c>
      <c r="B5113" s="89" t="s">
        <v>4593</v>
      </c>
      <c r="C5113" s="102" t="s">
        <v>1157</v>
      </c>
    </row>
    <row r="5114" spans="1:3" ht="15">
      <c r="A5114" s="90" t="s">
        <v>348</v>
      </c>
      <c r="B5114" s="89" t="s">
        <v>4594</v>
      </c>
      <c r="C5114" s="102" t="s">
        <v>1157</v>
      </c>
    </row>
    <row r="5115" spans="1:3" ht="15">
      <c r="A5115" s="90" t="s">
        <v>348</v>
      </c>
      <c r="B5115" s="89" t="s">
        <v>3256</v>
      </c>
      <c r="C5115" s="102" t="s">
        <v>1157</v>
      </c>
    </row>
    <row r="5116" spans="1:3" ht="15">
      <c r="A5116" s="90" t="s">
        <v>348</v>
      </c>
      <c r="B5116" s="89" t="s">
        <v>2664</v>
      </c>
      <c r="C5116" s="102" t="s">
        <v>1157</v>
      </c>
    </row>
    <row r="5117" spans="1:3" ht="15">
      <c r="A5117" s="90" t="s">
        <v>348</v>
      </c>
      <c r="B5117" s="89" t="s">
        <v>4595</v>
      </c>
      <c r="C5117" s="102" t="s">
        <v>1157</v>
      </c>
    </row>
    <row r="5118" spans="1:3" ht="15">
      <c r="A5118" s="90" t="s">
        <v>348</v>
      </c>
      <c r="B5118" s="89" t="s">
        <v>4596</v>
      </c>
      <c r="C5118" s="102" t="s">
        <v>1157</v>
      </c>
    </row>
    <row r="5119" spans="1:3" ht="15">
      <c r="A5119" s="90" t="s">
        <v>348</v>
      </c>
      <c r="B5119" s="89" t="s">
        <v>3697</v>
      </c>
      <c r="C5119" s="102" t="s">
        <v>1157</v>
      </c>
    </row>
    <row r="5120" spans="1:3" ht="15">
      <c r="A5120" s="90" t="s">
        <v>348</v>
      </c>
      <c r="B5120" s="89" t="s">
        <v>4597</v>
      </c>
      <c r="C5120" s="102" t="s">
        <v>1157</v>
      </c>
    </row>
    <row r="5121" spans="1:3" ht="15">
      <c r="A5121" s="90" t="s">
        <v>348</v>
      </c>
      <c r="B5121" s="89" t="s">
        <v>2901</v>
      </c>
      <c r="C5121" s="102" t="s">
        <v>1157</v>
      </c>
    </row>
    <row r="5122" spans="1:3" ht="15">
      <c r="A5122" s="90" t="s">
        <v>348</v>
      </c>
      <c r="B5122" s="89" t="s">
        <v>4598</v>
      </c>
      <c r="C5122" s="102" t="s">
        <v>1157</v>
      </c>
    </row>
    <row r="5123" spans="1:3" ht="15">
      <c r="A5123" s="90" t="s">
        <v>348</v>
      </c>
      <c r="B5123" s="89" t="s">
        <v>4599</v>
      </c>
      <c r="C5123" s="102" t="s">
        <v>1157</v>
      </c>
    </row>
    <row r="5124" spans="1:3" ht="15">
      <c r="A5124" s="90" t="s">
        <v>348</v>
      </c>
      <c r="B5124" s="89" t="s">
        <v>3784</v>
      </c>
      <c r="C5124" s="102" t="s">
        <v>1157</v>
      </c>
    </row>
    <row r="5125" spans="1:3" ht="15">
      <c r="A5125" s="90" t="s">
        <v>231</v>
      </c>
      <c r="B5125" s="89" t="s">
        <v>349</v>
      </c>
      <c r="C5125" s="102" t="s">
        <v>976</v>
      </c>
    </row>
    <row r="5126" spans="1:3" ht="15">
      <c r="A5126" s="90" t="s">
        <v>231</v>
      </c>
      <c r="B5126" s="89" t="s">
        <v>3426</v>
      </c>
      <c r="C5126" s="102" t="s">
        <v>976</v>
      </c>
    </row>
    <row r="5127" spans="1:3" ht="15">
      <c r="A5127" s="90" t="s">
        <v>231</v>
      </c>
      <c r="B5127" s="89" t="s">
        <v>4600</v>
      </c>
      <c r="C5127" s="102" t="s">
        <v>976</v>
      </c>
    </row>
    <row r="5128" spans="1:3" ht="15">
      <c r="A5128" s="90" t="s">
        <v>231</v>
      </c>
      <c r="B5128" s="89" t="s">
        <v>4601</v>
      </c>
      <c r="C5128" s="102" t="s">
        <v>976</v>
      </c>
    </row>
    <row r="5129" spans="1:3" ht="15">
      <c r="A5129" s="90" t="s">
        <v>231</v>
      </c>
      <c r="B5129" s="89" t="s">
        <v>3155</v>
      </c>
      <c r="C5129" s="102" t="s">
        <v>976</v>
      </c>
    </row>
    <row r="5130" spans="1:3" ht="15">
      <c r="A5130" s="90" t="s">
        <v>231</v>
      </c>
      <c r="B5130" s="89" t="s">
        <v>3309</v>
      </c>
      <c r="C5130" s="102" t="s">
        <v>976</v>
      </c>
    </row>
    <row r="5131" spans="1:3" ht="15">
      <c r="A5131" s="90" t="s">
        <v>231</v>
      </c>
      <c r="B5131" s="89" t="s">
        <v>3001</v>
      </c>
      <c r="C5131" s="102" t="s">
        <v>976</v>
      </c>
    </row>
    <row r="5132" spans="1:3" ht="15">
      <c r="A5132" s="90" t="s">
        <v>231</v>
      </c>
      <c r="B5132" s="89" t="s">
        <v>3306</v>
      </c>
      <c r="C5132" s="102" t="s">
        <v>976</v>
      </c>
    </row>
    <row r="5133" spans="1:3" ht="15">
      <c r="A5133" s="90" t="s">
        <v>231</v>
      </c>
      <c r="B5133" s="89" t="s">
        <v>2777</v>
      </c>
      <c r="C5133" s="102" t="s">
        <v>976</v>
      </c>
    </row>
    <row r="5134" spans="1:3" ht="15">
      <c r="A5134" s="90" t="s">
        <v>231</v>
      </c>
      <c r="B5134" s="89" t="s">
        <v>4602</v>
      </c>
      <c r="C5134" s="102" t="s">
        <v>976</v>
      </c>
    </row>
    <row r="5135" spans="1:3" ht="15">
      <c r="A5135" s="90" t="s">
        <v>231</v>
      </c>
      <c r="B5135" s="89" t="s">
        <v>3189</v>
      </c>
      <c r="C5135" s="102" t="s">
        <v>976</v>
      </c>
    </row>
    <row r="5136" spans="1:3" ht="15">
      <c r="A5136" s="90" t="s">
        <v>231</v>
      </c>
      <c r="B5136" s="89" t="s">
        <v>712</v>
      </c>
      <c r="C5136" s="102" t="s">
        <v>976</v>
      </c>
    </row>
    <row r="5137" spans="1:3" ht="15">
      <c r="A5137" s="90" t="s">
        <v>231</v>
      </c>
      <c r="B5137" s="89" t="s">
        <v>4603</v>
      </c>
      <c r="C5137" s="102" t="s">
        <v>976</v>
      </c>
    </row>
    <row r="5138" spans="1:3" ht="15">
      <c r="A5138" s="90" t="s">
        <v>231</v>
      </c>
      <c r="B5138" s="89" t="s">
        <v>3448</v>
      </c>
      <c r="C5138" s="102" t="s">
        <v>976</v>
      </c>
    </row>
    <row r="5139" spans="1:3" ht="15">
      <c r="A5139" s="90" t="s">
        <v>231</v>
      </c>
      <c r="B5139" s="89" t="s">
        <v>2739</v>
      </c>
      <c r="C5139" s="102" t="s">
        <v>976</v>
      </c>
    </row>
    <row r="5140" spans="1:3" ht="15">
      <c r="A5140" s="90" t="s">
        <v>231</v>
      </c>
      <c r="B5140" s="89" t="s">
        <v>3385</v>
      </c>
      <c r="C5140" s="102" t="s">
        <v>976</v>
      </c>
    </row>
    <row r="5141" spans="1:3" ht="15">
      <c r="A5141" s="90" t="s">
        <v>231</v>
      </c>
      <c r="B5141" s="89" t="s">
        <v>3323</v>
      </c>
      <c r="C5141" s="102" t="s">
        <v>976</v>
      </c>
    </row>
    <row r="5142" spans="1:3" ht="15">
      <c r="A5142" s="90" t="s">
        <v>231</v>
      </c>
      <c r="B5142" s="89" t="s">
        <v>3192</v>
      </c>
      <c r="C5142" s="102" t="s">
        <v>976</v>
      </c>
    </row>
    <row r="5143" spans="1:3" ht="15">
      <c r="A5143" s="90" t="s">
        <v>231</v>
      </c>
      <c r="B5143" s="89" t="s">
        <v>4604</v>
      </c>
      <c r="C5143" s="102" t="s">
        <v>976</v>
      </c>
    </row>
    <row r="5144" spans="1:3" ht="15">
      <c r="A5144" s="90" t="s">
        <v>231</v>
      </c>
      <c r="B5144" s="89" t="s">
        <v>2665</v>
      </c>
      <c r="C5144" s="102" t="s">
        <v>976</v>
      </c>
    </row>
    <row r="5145" spans="1:3" ht="15">
      <c r="A5145" s="90" t="s">
        <v>231</v>
      </c>
      <c r="B5145" s="89" t="s">
        <v>4605</v>
      </c>
      <c r="C5145" s="102" t="s">
        <v>976</v>
      </c>
    </row>
    <row r="5146" spans="1:3" ht="15">
      <c r="A5146" s="90" t="s">
        <v>231</v>
      </c>
      <c r="B5146" s="89" t="s">
        <v>4606</v>
      </c>
      <c r="C5146" s="102" t="s">
        <v>976</v>
      </c>
    </row>
    <row r="5147" spans="1:3" ht="15">
      <c r="A5147" s="90" t="s">
        <v>231</v>
      </c>
      <c r="B5147" s="89" t="s">
        <v>4607</v>
      </c>
      <c r="C5147" s="102" t="s">
        <v>976</v>
      </c>
    </row>
    <row r="5148" spans="1:3" ht="15">
      <c r="A5148" s="90" t="s">
        <v>231</v>
      </c>
      <c r="B5148" s="89" t="s">
        <v>3137</v>
      </c>
      <c r="C5148" s="102" t="s">
        <v>976</v>
      </c>
    </row>
    <row r="5149" spans="1:3" ht="15">
      <c r="A5149" s="90" t="s">
        <v>231</v>
      </c>
      <c r="B5149" s="89" t="s">
        <v>4608</v>
      </c>
      <c r="C5149" s="102" t="s">
        <v>976</v>
      </c>
    </row>
    <row r="5150" spans="1:3" ht="15">
      <c r="A5150" s="90" t="s">
        <v>231</v>
      </c>
      <c r="B5150" s="89" t="s">
        <v>3356</v>
      </c>
      <c r="C5150" s="102" t="s">
        <v>976</v>
      </c>
    </row>
    <row r="5151" spans="1:3" ht="15">
      <c r="A5151" s="90" t="s">
        <v>231</v>
      </c>
      <c r="B5151" s="89" t="s">
        <v>2871</v>
      </c>
      <c r="C5151" s="102" t="s">
        <v>976</v>
      </c>
    </row>
    <row r="5152" spans="1:3" ht="15">
      <c r="A5152" s="90" t="s">
        <v>231</v>
      </c>
      <c r="B5152" s="89" t="s">
        <v>4609</v>
      </c>
      <c r="C5152" s="102" t="s">
        <v>976</v>
      </c>
    </row>
    <row r="5153" spans="1:3" ht="15">
      <c r="A5153" s="90" t="s">
        <v>231</v>
      </c>
      <c r="B5153" s="89" t="s">
        <v>4610</v>
      </c>
      <c r="C5153" s="102" t="s">
        <v>976</v>
      </c>
    </row>
    <row r="5154" spans="1:3" ht="15">
      <c r="A5154" s="90" t="s">
        <v>231</v>
      </c>
      <c r="B5154" s="89" t="s">
        <v>4611</v>
      </c>
      <c r="C5154" s="102" t="s">
        <v>976</v>
      </c>
    </row>
    <row r="5155" spans="1:3" ht="15">
      <c r="A5155" s="90" t="s">
        <v>231</v>
      </c>
      <c r="B5155" s="89" t="s">
        <v>2840</v>
      </c>
      <c r="C5155" s="102" t="s">
        <v>976</v>
      </c>
    </row>
    <row r="5156" spans="1:3" ht="15">
      <c r="A5156" s="90" t="s">
        <v>231</v>
      </c>
      <c r="B5156" s="89" t="s">
        <v>3767</v>
      </c>
      <c r="C5156" s="102" t="s">
        <v>976</v>
      </c>
    </row>
    <row r="5157" spans="1:3" ht="15">
      <c r="A5157" s="90" t="s">
        <v>231</v>
      </c>
      <c r="B5157" s="89" t="s">
        <v>4612</v>
      </c>
      <c r="C5157" s="102" t="s">
        <v>976</v>
      </c>
    </row>
    <row r="5158" spans="1:3" ht="15">
      <c r="A5158" s="90" t="s">
        <v>231</v>
      </c>
      <c r="B5158" s="89" t="s">
        <v>2788</v>
      </c>
      <c r="C5158" s="102" t="s">
        <v>976</v>
      </c>
    </row>
    <row r="5159" spans="1:3" ht="15">
      <c r="A5159" s="90" t="s">
        <v>230</v>
      </c>
      <c r="B5159" s="89" t="s">
        <v>3928</v>
      </c>
      <c r="C5159" s="102" t="s">
        <v>975</v>
      </c>
    </row>
    <row r="5160" spans="1:3" ht="15">
      <c r="A5160" s="90" t="s">
        <v>230</v>
      </c>
      <c r="B5160" s="89" t="s">
        <v>4613</v>
      </c>
      <c r="C5160" s="102" t="s">
        <v>975</v>
      </c>
    </row>
    <row r="5161" spans="1:3" ht="15">
      <c r="A5161" s="90" t="s">
        <v>230</v>
      </c>
      <c r="B5161" s="89" t="s">
        <v>3585</v>
      </c>
      <c r="C5161" s="102" t="s">
        <v>975</v>
      </c>
    </row>
    <row r="5162" spans="1:3" ht="15">
      <c r="A5162" s="90" t="s">
        <v>230</v>
      </c>
      <c r="B5162" s="89" t="s">
        <v>4518</v>
      </c>
      <c r="C5162" s="102" t="s">
        <v>975</v>
      </c>
    </row>
    <row r="5163" spans="1:3" ht="15">
      <c r="A5163" s="90" t="s">
        <v>230</v>
      </c>
      <c r="B5163" s="89" t="s">
        <v>4614</v>
      </c>
      <c r="C5163" s="102" t="s">
        <v>975</v>
      </c>
    </row>
    <row r="5164" spans="1:3" ht="15">
      <c r="A5164" s="90" t="s">
        <v>230</v>
      </c>
      <c r="B5164" s="89" t="s">
        <v>3782</v>
      </c>
      <c r="C5164" s="102" t="s">
        <v>975</v>
      </c>
    </row>
    <row r="5165" spans="1:3" ht="15">
      <c r="A5165" s="90" t="s">
        <v>230</v>
      </c>
      <c r="B5165" s="89" t="s">
        <v>4615</v>
      </c>
      <c r="C5165" s="102" t="s">
        <v>975</v>
      </c>
    </row>
    <row r="5166" spans="1:3" ht="15">
      <c r="A5166" s="90" t="s">
        <v>230</v>
      </c>
      <c r="B5166" s="89" t="s">
        <v>3530</v>
      </c>
      <c r="C5166" s="102" t="s">
        <v>975</v>
      </c>
    </row>
    <row r="5167" spans="1:3" ht="15">
      <c r="A5167" s="90" t="s">
        <v>230</v>
      </c>
      <c r="B5167" s="89" t="s">
        <v>3378</v>
      </c>
      <c r="C5167" s="102" t="s">
        <v>975</v>
      </c>
    </row>
    <row r="5168" spans="1:3" ht="15">
      <c r="A5168" s="90" t="s">
        <v>230</v>
      </c>
      <c r="B5168" s="89" t="s">
        <v>3759</v>
      </c>
      <c r="C5168" s="102" t="s">
        <v>975</v>
      </c>
    </row>
    <row r="5169" spans="1:3" ht="15">
      <c r="A5169" s="90" t="s">
        <v>230</v>
      </c>
      <c r="B5169" s="89" t="s">
        <v>3783</v>
      </c>
      <c r="C5169" s="102" t="s">
        <v>975</v>
      </c>
    </row>
    <row r="5170" spans="1:3" ht="15">
      <c r="A5170" s="90" t="s">
        <v>230</v>
      </c>
      <c r="B5170" s="89" t="s">
        <v>3141</v>
      </c>
      <c r="C5170" s="102" t="s">
        <v>975</v>
      </c>
    </row>
    <row r="5171" spans="1:3" ht="15">
      <c r="A5171" s="90" t="s">
        <v>230</v>
      </c>
      <c r="B5171" s="89" t="s">
        <v>3609</v>
      </c>
      <c r="C5171" s="102" t="s">
        <v>975</v>
      </c>
    </row>
    <row r="5172" spans="1:3" ht="15">
      <c r="A5172" s="90" t="s">
        <v>230</v>
      </c>
      <c r="B5172" s="89" t="s">
        <v>4616</v>
      </c>
      <c r="C5172" s="102" t="s">
        <v>975</v>
      </c>
    </row>
    <row r="5173" spans="1:3" ht="15">
      <c r="A5173" s="90" t="s">
        <v>230</v>
      </c>
      <c r="B5173" s="89">
        <v>700</v>
      </c>
      <c r="C5173" s="102" t="s">
        <v>975</v>
      </c>
    </row>
    <row r="5174" spans="1:3" ht="15">
      <c r="A5174" s="90" t="s">
        <v>230</v>
      </c>
      <c r="B5174" s="89" t="s">
        <v>4617</v>
      </c>
      <c r="C5174" s="102" t="s">
        <v>975</v>
      </c>
    </row>
    <row r="5175" spans="1:3" ht="15">
      <c r="A5175" s="90" t="s">
        <v>230</v>
      </c>
      <c r="B5175" s="89" t="s">
        <v>3263</v>
      </c>
      <c r="C5175" s="102" t="s">
        <v>975</v>
      </c>
    </row>
    <row r="5176" spans="1:3" ht="15">
      <c r="A5176" s="90" t="s">
        <v>230</v>
      </c>
      <c r="B5176" s="89" t="s">
        <v>4465</v>
      </c>
      <c r="C5176" s="102" t="s">
        <v>975</v>
      </c>
    </row>
    <row r="5177" spans="1:3" ht="15">
      <c r="A5177" s="90" t="s">
        <v>230</v>
      </c>
      <c r="B5177" s="89" t="s">
        <v>3091</v>
      </c>
      <c r="C5177" s="102" t="s">
        <v>975</v>
      </c>
    </row>
    <row r="5178" spans="1:3" ht="15">
      <c r="A5178" s="90" t="s">
        <v>230</v>
      </c>
      <c r="B5178" s="89" t="s">
        <v>3204</v>
      </c>
      <c r="C5178" s="102" t="s">
        <v>975</v>
      </c>
    </row>
    <row r="5179" spans="1:3" ht="15">
      <c r="A5179" s="90" t="s">
        <v>230</v>
      </c>
      <c r="B5179" s="89">
        <v>7</v>
      </c>
      <c r="C5179" s="102" t="s">
        <v>975</v>
      </c>
    </row>
    <row r="5180" spans="1:3" ht="15">
      <c r="A5180" s="90" t="s">
        <v>230</v>
      </c>
      <c r="B5180" s="89" t="s">
        <v>4618</v>
      </c>
      <c r="C5180" s="102" t="s">
        <v>975</v>
      </c>
    </row>
    <row r="5181" spans="1:3" ht="15">
      <c r="A5181" s="90" t="s">
        <v>230</v>
      </c>
      <c r="B5181" s="89" t="s">
        <v>4619</v>
      </c>
      <c r="C5181" s="102" t="s">
        <v>975</v>
      </c>
    </row>
    <row r="5182" spans="1:3" ht="15">
      <c r="A5182" s="90" t="s">
        <v>230</v>
      </c>
      <c r="B5182" s="89" t="s">
        <v>4620</v>
      </c>
      <c r="C5182" s="102" t="s">
        <v>975</v>
      </c>
    </row>
    <row r="5183" spans="1:3" ht="15">
      <c r="A5183" s="90" t="s">
        <v>230</v>
      </c>
      <c r="B5183" s="89" t="s">
        <v>2809</v>
      </c>
      <c r="C5183" s="102" t="s">
        <v>975</v>
      </c>
    </row>
    <row r="5184" spans="1:3" ht="15">
      <c r="A5184" s="90" t="s">
        <v>230</v>
      </c>
      <c r="B5184" s="89" t="s">
        <v>3475</v>
      </c>
      <c r="C5184" s="102" t="s">
        <v>975</v>
      </c>
    </row>
    <row r="5185" spans="1:3" ht="15">
      <c r="A5185" s="90" t="s">
        <v>230</v>
      </c>
      <c r="B5185" s="89" t="s">
        <v>4162</v>
      </c>
      <c r="C5185" s="102" t="s">
        <v>975</v>
      </c>
    </row>
    <row r="5186" spans="1:3" ht="15">
      <c r="A5186" s="90" t="s">
        <v>230</v>
      </c>
      <c r="B5186" s="89" t="s">
        <v>3165</v>
      </c>
      <c r="C5186" s="102" t="s">
        <v>975</v>
      </c>
    </row>
    <row r="5187" spans="1:3" ht="15">
      <c r="A5187" s="90" t="s">
        <v>230</v>
      </c>
      <c r="B5187" s="89" t="s">
        <v>3155</v>
      </c>
      <c r="C5187" s="102" t="s">
        <v>975</v>
      </c>
    </row>
    <row r="5188" spans="1:3" ht="15">
      <c r="A5188" s="90" t="s">
        <v>230</v>
      </c>
      <c r="B5188" s="89" t="s">
        <v>4621</v>
      </c>
      <c r="C5188" s="102" t="s">
        <v>975</v>
      </c>
    </row>
    <row r="5189" spans="1:3" ht="15">
      <c r="A5189" s="90" t="s">
        <v>230</v>
      </c>
      <c r="B5189" s="89" t="s">
        <v>3502</v>
      </c>
      <c r="C5189" s="102" t="s">
        <v>975</v>
      </c>
    </row>
    <row r="5190" spans="1:3" ht="15">
      <c r="A5190" s="90" t="s">
        <v>230</v>
      </c>
      <c r="B5190" s="89" t="s">
        <v>4622</v>
      </c>
      <c r="C5190" s="102" t="s">
        <v>975</v>
      </c>
    </row>
    <row r="5191" spans="1:3" ht="15">
      <c r="A5191" s="90" t="s">
        <v>229</v>
      </c>
      <c r="B5191" s="89" t="s">
        <v>3204</v>
      </c>
      <c r="C5191" s="102" t="s">
        <v>974</v>
      </c>
    </row>
    <row r="5192" spans="1:3" ht="15">
      <c r="A5192" s="90" t="s">
        <v>229</v>
      </c>
      <c r="B5192" s="89" t="s">
        <v>2762</v>
      </c>
      <c r="C5192" s="102" t="s">
        <v>974</v>
      </c>
    </row>
    <row r="5193" spans="1:3" ht="15">
      <c r="A5193" s="90" t="s">
        <v>229</v>
      </c>
      <c r="B5193" s="89" t="s">
        <v>4334</v>
      </c>
      <c r="C5193" s="102" t="s">
        <v>974</v>
      </c>
    </row>
    <row r="5194" spans="1:3" ht="15">
      <c r="A5194" s="90" t="s">
        <v>229</v>
      </c>
      <c r="B5194" s="89" t="s">
        <v>3347</v>
      </c>
      <c r="C5194" s="102" t="s">
        <v>974</v>
      </c>
    </row>
    <row r="5195" spans="1:3" ht="15">
      <c r="A5195" s="90" t="s">
        <v>229</v>
      </c>
      <c r="B5195" s="89" t="s">
        <v>3227</v>
      </c>
      <c r="C5195" s="102" t="s">
        <v>974</v>
      </c>
    </row>
    <row r="5196" spans="1:3" ht="15">
      <c r="A5196" s="90" t="s">
        <v>229</v>
      </c>
      <c r="B5196" s="89" t="s">
        <v>3155</v>
      </c>
      <c r="C5196" s="102" t="s">
        <v>974</v>
      </c>
    </row>
    <row r="5197" spans="1:3" ht="15">
      <c r="A5197" s="90" t="s">
        <v>229</v>
      </c>
      <c r="B5197" s="89" t="s">
        <v>3205</v>
      </c>
      <c r="C5197" s="102" t="s">
        <v>974</v>
      </c>
    </row>
    <row r="5198" spans="1:3" ht="15">
      <c r="A5198" s="90" t="s">
        <v>229</v>
      </c>
      <c r="B5198" s="89" t="s">
        <v>3253</v>
      </c>
      <c r="C5198" s="102" t="s">
        <v>974</v>
      </c>
    </row>
    <row r="5199" spans="1:3" ht="15">
      <c r="A5199" s="90" t="s">
        <v>287</v>
      </c>
      <c r="B5199" s="89" t="s">
        <v>3204</v>
      </c>
      <c r="C5199" s="102" t="s">
        <v>1050</v>
      </c>
    </row>
    <row r="5200" spans="1:3" ht="15">
      <c r="A5200" s="90" t="s">
        <v>287</v>
      </c>
      <c r="B5200" s="89" t="s">
        <v>2762</v>
      </c>
      <c r="C5200" s="102" t="s">
        <v>1050</v>
      </c>
    </row>
    <row r="5201" spans="1:3" ht="15">
      <c r="A5201" s="90" t="s">
        <v>287</v>
      </c>
      <c r="B5201" s="89" t="s">
        <v>4334</v>
      </c>
      <c r="C5201" s="102" t="s">
        <v>1050</v>
      </c>
    </row>
    <row r="5202" spans="1:3" ht="15">
      <c r="A5202" s="90" t="s">
        <v>287</v>
      </c>
      <c r="B5202" s="89" t="s">
        <v>3347</v>
      </c>
      <c r="C5202" s="102" t="s">
        <v>1050</v>
      </c>
    </row>
    <row r="5203" spans="1:3" ht="15">
      <c r="A5203" s="90" t="s">
        <v>287</v>
      </c>
      <c r="B5203" s="89" t="s">
        <v>3227</v>
      </c>
      <c r="C5203" s="102" t="s">
        <v>1050</v>
      </c>
    </row>
    <row r="5204" spans="1:3" ht="15">
      <c r="A5204" s="90" t="s">
        <v>287</v>
      </c>
      <c r="B5204" s="89" t="s">
        <v>3155</v>
      </c>
      <c r="C5204" s="102" t="s">
        <v>1050</v>
      </c>
    </row>
    <row r="5205" spans="1:3" ht="15">
      <c r="A5205" s="90" t="s">
        <v>287</v>
      </c>
      <c r="B5205" s="89" t="s">
        <v>3205</v>
      </c>
      <c r="C5205" s="102" t="s">
        <v>1050</v>
      </c>
    </row>
    <row r="5206" spans="1:3" ht="15">
      <c r="A5206" s="90" t="s">
        <v>287</v>
      </c>
      <c r="B5206" s="89" t="s">
        <v>3253</v>
      </c>
      <c r="C5206" s="102" t="s">
        <v>1050</v>
      </c>
    </row>
    <row r="5207" spans="1:3" ht="15">
      <c r="A5207" s="90" t="s">
        <v>228</v>
      </c>
      <c r="B5207" s="89" t="s">
        <v>3204</v>
      </c>
      <c r="C5207" s="102" t="s">
        <v>973</v>
      </c>
    </row>
    <row r="5208" spans="1:3" ht="15">
      <c r="A5208" s="90" t="s">
        <v>228</v>
      </c>
      <c r="B5208" s="89" t="s">
        <v>2762</v>
      </c>
      <c r="C5208" s="102" t="s">
        <v>973</v>
      </c>
    </row>
    <row r="5209" spans="1:3" ht="15">
      <c r="A5209" s="90" t="s">
        <v>228</v>
      </c>
      <c r="B5209" s="89" t="s">
        <v>4334</v>
      </c>
      <c r="C5209" s="102" t="s">
        <v>973</v>
      </c>
    </row>
    <row r="5210" spans="1:3" ht="15">
      <c r="A5210" s="90" t="s">
        <v>228</v>
      </c>
      <c r="B5210" s="89" t="s">
        <v>3347</v>
      </c>
      <c r="C5210" s="102" t="s">
        <v>973</v>
      </c>
    </row>
    <row r="5211" spans="1:3" ht="15">
      <c r="A5211" s="90" t="s">
        <v>228</v>
      </c>
      <c r="B5211" s="89" t="s">
        <v>3227</v>
      </c>
      <c r="C5211" s="102" t="s">
        <v>973</v>
      </c>
    </row>
    <row r="5212" spans="1:3" ht="15">
      <c r="A5212" s="90" t="s">
        <v>228</v>
      </c>
      <c r="B5212" s="89" t="s">
        <v>3155</v>
      </c>
      <c r="C5212" s="102" t="s">
        <v>973</v>
      </c>
    </row>
    <row r="5213" spans="1:3" ht="15">
      <c r="A5213" s="90" t="s">
        <v>228</v>
      </c>
      <c r="B5213" s="89" t="s">
        <v>3205</v>
      </c>
      <c r="C5213" s="102" t="s">
        <v>973</v>
      </c>
    </row>
    <row r="5214" spans="1:3" ht="15">
      <c r="A5214" s="90" t="s">
        <v>228</v>
      </c>
      <c r="B5214" s="89" t="s">
        <v>3253</v>
      </c>
      <c r="C5214" s="102" t="s">
        <v>973</v>
      </c>
    </row>
    <row r="5215" spans="1:3" ht="15">
      <c r="A5215" s="90" t="s">
        <v>227</v>
      </c>
      <c r="B5215" s="89" t="s">
        <v>4623</v>
      </c>
      <c r="C5215" s="102" t="s">
        <v>972</v>
      </c>
    </row>
    <row r="5216" spans="1:3" ht="15">
      <c r="A5216" s="90" t="s">
        <v>227</v>
      </c>
      <c r="B5216" s="89" t="s">
        <v>3092</v>
      </c>
      <c r="C5216" s="102" t="s">
        <v>972</v>
      </c>
    </row>
    <row r="5217" spans="1:3" ht="15">
      <c r="A5217" s="90" t="s">
        <v>227</v>
      </c>
      <c r="B5217" s="89" t="s">
        <v>3165</v>
      </c>
      <c r="C5217" s="102" t="s">
        <v>972</v>
      </c>
    </row>
    <row r="5218" spans="1:3" ht="15">
      <c r="A5218" s="90" t="s">
        <v>227</v>
      </c>
      <c r="B5218" s="89" t="s">
        <v>3205</v>
      </c>
      <c r="C5218" s="102" t="s">
        <v>972</v>
      </c>
    </row>
    <row r="5219" spans="1:3" ht="15">
      <c r="A5219" s="90" t="s">
        <v>227</v>
      </c>
      <c r="B5219" s="89" t="s">
        <v>3094</v>
      </c>
      <c r="C5219" s="102" t="s">
        <v>972</v>
      </c>
    </row>
    <row r="5220" spans="1:3" ht="15">
      <c r="A5220" s="90" t="s">
        <v>227</v>
      </c>
      <c r="B5220" s="89" t="s">
        <v>3642</v>
      </c>
      <c r="C5220" s="102" t="s">
        <v>972</v>
      </c>
    </row>
    <row r="5221" spans="1:3" ht="15">
      <c r="A5221" s="90" t="s">
        <v>227</v>
      </c>
      <c r="B5221" s="89" t="s">
        <v>3095</v>
      </c>
      <c r="C5221" s="102" t="s">
        <v>972</v>
      </c>
    </row>
    <row r="5222" spans="1:3" ht="15">
      <c r="A5222" s="90" t="s">
        <v>227</v>
      </c>
      <c r="B5222" s="89" t="s">
        <v>4624</v>
      </c>
      <c r="C5222" s="102" t="s">
        <v>972</v>
      </c>
    </row>
    <row r="5223" spans="1:3" ht="15">
      <c r="A5223" s="90" t="s">
        <v>227</v>
      </c>
      <c r="B5223" s="89" t="s">
        <v>3644</v>
      </c>
      <c r="C5223" s="102" t="s">
        <v>972</v>
      </c>
    </row>
    <row r="5224" spans="1:3" ht="15">
      <c r="A5224" s="90" t="s">
        <v>227</v>
      </c>
      <c r="B5224" s="89" t="s">
        <v>4001</v>
      </c>
      <c r="C5224" s="102" t="s">
        <v>972</v>
      </c>
    </row>
    <row r="5225" spans="1:3" ht="15">
      <c r="A5225" s="90" t="s">
        <v>227</v>
      </c>
      <c r="B5225" s="89" t="s">
        <v>4625</v>
      </c>
      <c r="C5225" s="102" t="s">
        <v>972</v>
      </c>
    </row>
    <row r="5226" spans="1:3" ht="15">
      <c r="A5226" s="90" t="s">
        <v>227</v>
      </c>
      <c r="B5226" s="89" t="s">
        <v>3097</v>
      </c>
      <c r="C5226" s="102" t="s">
        <v>972</v>
      </c>
    </row>
    <row r="5227" spans="1:3" ht="15">
      <c r="A5227" s="90" t="s">
        <v>227</v>
      </c>
      <c r="B5227" s="89" t="s">
        <v>3098</v>
      </c>
      <c r="C5227" s="102" t="s">
        <v>972</v>
      </c>
    </row>
    <row r="5228" spans="1:3" ht="15">
      <c r="A5228" s="90" t="s">
        <v>227</v>
      </c>
      <c r="B5228" s="89" t="s">
        <v>3227</v>
      </c>
      <c r="C5228" s="102" t="s">
        <v>972</v>
      </c>
    </row>
    <row r="5229" spans="1:3" ht="15">
      <c r="A5229" s="90" t="s">
        <v>227</v>
      </c>
      <c r="B5229" s="89" t="s">
        <v>3099</v>
      </c>
      <c r="C5229" s="102" t="s">
        <v>972</v>
      </c>
    </row>
    <row r="5230" spans="1:3" ht="15">
      <c r="A5230" s="90" t="s">
        <v>227</v>
      </c>
      <c r="B5230" s="89" t="s">
        <v>3100</v>
      </c>
      <c r="C5230" s="102" t="s">
        <v>972</v>
      </c>
    </row>
    <row r="5231" spans="1:3" ht="15">
      <c r="A5231" s="90" t="s">
        <v>227</v>
      </c>
      <c r="B5231" s="89" t="s">
        <v>2765</v>
      </c>
      <c r="C5231" s="102" t="s">
        <v>972</v>
      </c>
    </row>
    <row r="5232" spans="1:3" ht="15">
      <c r="A5232" s="90" t="s">
        <v>227</v>
      </c>
      <c r="B5232" s="89" t="s">
        <v>712</v>
      </c>
      <c r="C5232" s="102" t="s">
        <v>972</v>
      </c>
    </row>
    <row r="5233" spans="1:3" ht="15">
      <c r="A5233" s="90" t="s">
        <v>227</v>
      </c>
      <c r="B5233" s="89" t="s">
        <v>3722</v>
      </c>
      <c r="C5233" s="102" t="s">
        <v>972</v>
      </c>
    </row>
    <row r="5234" spans="1:3" ht="15">
      <c r="A5234" s="90" t="s">
        <v>227</v>
      </c>
      <c r="B5234" s="89" t="s">
        <v>3141</v>
      </c>
      <c r="C5234" s="102" t="s">
        <v>972</v>
      </c>
    </row>
    <row r="5235" spans="1:3" ht="15">
      <c r="A5235" s="90" t="s">
        <v>227</v>
      </c>
      <c r="B5235" s="89" t="s">
        <v>2851</v>
      </c>
      <c r="C5235" s="102" t="s">
        <v>972</v>
      </c>
    </row>
    <row r="5236" spans="1:3" ht="15">
      <c r="A5236" s="90" t="s">
        <v>227</v>
      </c>
      <c r="B5236" s="89" t="s">
        <v>3585</v>
      </c>
      <c r="C5236" s="102" t="s">
        <v>972</v>
      </c>
    </row>
    <row r="5237" spans="1:3" ht="15">
      <c r="A5237" s="90" t="s">
        <v>227</v>
      </c>
      <c r="B5237" s="89" t="s">
        <v>2852</v>
      </c>
      <c r="C5237" s="102" t="s">
        <v>972</v>
      </c>
    </row>
    <row r="5238" spans="1:3" ht="15">
      <c r="A5238" s="90" t="s">
        <v>227</v>
      </c>
      <c r="B5238" s="89" t="s">
        <v>2874</v>
      </c>
      <c r="C5238" s="102" t="s">
        <v>972</v>
      </c>
    </row>
    <row r="5239" spans="1:3" ht="15">
      <c r="A5239" s="90" t="s">
        <v>227</v>
      </c>
      <c r="B5239" s="89" t="s">
        <v>2754</v>
      </c>
      <c r="C5239" s="102" t="s">
        <v>972</v>
      </c>
    </row>
    <row r="5240" spans="1:3" ht="15">
      <c r="A5240" s="90" t="s">
        <v>227</v>
      </c>
      <c r="B5240" s="89" t="s">
        <v>3882</v>
      </c>
      <c r="C5240" s="102" t="s">
        <v>972</v>
      </c>
    </row>
    <row r="5241" spans="1:3" ht="15">
      <c r="A5241" s="90" t="s">
        <v>227</v>
      </c>
      <c r="B5241" s="89" t="s">
        <v>3101</v>
      </c>
      <c r="C5241" s="102" t="s">
        <v>972</v>
      </c>
    </row>
    <row r="5242" spans="1:3" ht="15">
      <c r="A5242" s="90" t="s">
        <v>227</v>
      </c>
      <c r="B5242" s="89" t="s">
        <v>3155</v>
      </c>
      <c r="C5242" s="102" t="s">
        <v>972</v>
      </c>
    </row>
    <row r="5243" spans="1:3" ht="15">
      <c r="A5243" s="90" t="s">
        <v>227</v>
      </c>
      <c r="B5243" s="89" t="s">
        <v>3102</v>
      </c>
      <c r="C5243" s="102" t="s">
        <v>972</v>
      </c>
    </row>
    <row r="5244" spans="1:3" ht="15">
      <c r="A5244" s="90" t="s">
        <v>227</v>
      </c>
      <c r="B5244" s="89" t="s">
        <v>2850</v>
      </c>
      <c r="C5244" s="102" t="s">
        <v>972</v>
      </c>
    </row>
    <row r="5245" spans="1:3" ht="15">
      <c r="A5245" s="90" t="s">
        <v>227</v>
      </c>
      <c r="B5245" s="89" t="s">
        <v>4626</v>
      </c>
      <c r="C5245" s="102" t="s">
        <v>972</v>
      </c>
    </row>
    <row r="5246" spans="1:3" ht="15">
      <c r="A5246" s="90" t="s">
        <v>227</v>
      </c>
      <c r="B5246" s="89" t="s">
        <v>3309</v>
      </c>
      <c r="C5246" s="102" t="s">
        <v>972</v>
      </c>
    </row>
    <row r="5247" spans="1:3" ht="15">
      <c r="A5247" s="90" t="s">
        <v>227</v>
      </c>
      <c r="B5247" s="89" t="s">
        <v>3104</v>
      </c>
      <c r="C5247" s="102" t="s">
        <v>972</v>
      </c>
    </row>
    <row r="5248" spans="1:3" ht="15">
      <c r="A5248" s="90" t="s">
        <v>226</v>
      </c>
      <c r="B5248" s="89" t="s">
        <v>4623</v>
      </c>
      <c r="C5248" s="102" t="s">
        <v>971</v>
      </c>
    </row>
    <row r="5249" spans="1:3" ht="15">
      <c r="A5249" s="90" t="s">
        <v>226</v>
      </c>
      <c r="B5249" s="89" t="s">
        <v>3092</v>
      </c>
      <c r="C5249" s="102" t="s">
        <v>971</v>
      </c>
    </row>
    <row r="5250" spans="1:3" ht="15">
      <c r="A5250" s="90" t="s">
        <v>226</v>
      </c>
      <c r="B5250" s="89" t="s">
        <v>3165</v>
      </c>
      <c r="C5250" s="102" t="s">
        <v>971</v>
      </c>
    </row>
    <row r="5251" spans="1:3" ht="15">
      <c r="A5251" s="90" t="s">
        <v>226</v>
      </c>
      <c r="B5251" s="89" t="s">
        <v>3205</v>
      </c>
      <c r="C5251" s="102" t="s">
        <v>971</v>
      </c>
    </row>
    <row r="5252" spans="1:3" ht="15">
      <c r="A5252" s="90" t="s">
        <v>226</v>
      </c>
      <c r="B5252" s="89" t="s">
        <v>3094</v>
      </c>
      <c r="C5252" s="102" t="s">
        <v>971</v>
      </c>
    </row>
    <row r="5253" spans="1:3" ht="15">
      <c r="A5253" s="90" t="s">
        <v>226</v>
      </c>
      <c r="B5253" s="89" t="s">
        <v>3642</v>
      </c>
      <c r="C5253" s="102" t="s">
        <v>971</v>
      </c>
    </row>
    <row r="5254" spans="1:3" ht="15">
      <c r="A5254" s="90" t="s">
        <v>226</v>
      </c>
      <c r="B5254" s="89" t="s">
        <v>3095</v>
      </c>
      <c r="C5254" s="102" t="s">
        <v>971</v>
      </c>
    </row>
    <row r="5255" spans="1:3" ht="15">
      <c r="A5255" s="90" t="s">
        <v>226</v>
      </c>
      <c r="B5255" s="89" t="s">
        <v>4624</v>
      </c>
      <c r="C5255" s="102" t="s">
        <v>971</v>
      </c>
    </row>
    <row r="5256" spans="1:3" ht="15">
      <c r="A5256" s="90" t="s">
        <v>226</v>
      </c>
      <c r="B5256" s="89" t="s">
        <v>3644</v>
      </c>
      <c r="C5256" s="102" t="s">
        <v>971</v>
      </c>
    </row>
    <row r="5257" spans="1:3" ht="15">
      <c r="A5257" s="90" t="s">
        <v>226</v>
      </c>
      <c r="B5257" s="89" t="s">
        <v>4001</v>
      </c>
      <c r="C5257" s="102" t="s">
        <v>971</v>
      </c>
    </row>
    <row r="5258" spans="1:3" ht="15">
      <c r="A5258" s="90" t="s">
        <v>226</v>
      </c>
      <c r="B5258" s="89" t="s">
        <v>4625</v>
      </c>
      <c r="C5258" s="102" t="s">
        <v>971</v>
      </c>
    </row>
    <row r="5259" spans="1:3" ht="15">
      <c r="A5259" s="90" t="s">
        <v>226</v>
      </c>
      <c r="B5259" s="89" t="s">
        <v>3097</v>
      </c>
      <c r="C5259" s="102" t="s">
        <v>971</v>
      </c>
    </row>
    <row r="5260" spans="1:3" ht="15">
      <c r="A5260" s="90" t="s">
        <v>226</v>
      </c>
      <c r="B5260" s="89" t="s">
        <v>3098</v>
      </c>
      <c r="C5260" s="102" t="s">
        <v>971</v>
      </c>
    </row>
    <row r="5261" spans="1:3" ht="15">
      <c r="A5261" s="90" t="s">
        <v>226</v>
      </c>
      <c r="B5261" s="89" t="s">
        <v>3227</v>
      </c>
      <c r="C5261" s="102" t="s">
        <v>971</v>
      </c>
    </row>
    <row r="5262" spans="1:3" ht="15">
      <c r="A5262" s="90" t="s">
        <v>226</v>
      </c>
      <c r="B5262" s="89" t="s">
        <v>3099</v>
      </c>
      <c r="C5262" s="102" t="s">
        <v>971</v>
      </c>
    </row>
    <row r="5263" spans="1:3" ht="15">
      <c r="A5263" s="90" t="s">
        <v>226</v>
      </c>
      <c r="B5263" s="89" t="s">
        <v>3100</v>
      </c>
      <c r="C5263" s="102" t="s">
        <v>971</v>
      </c>
    </row>
    <row r="5264" spans="1:3" ht="15">
      <c r="A5264" s="90" t="s">
        <v>226</v>
      </c>
      <c r="B5264" s="89" t="s">
        <v>2765</v>
      </c>
      <c r="C5264" s="102" t="s">
        <v>971</v>
      </c>
    </row>
    <row r="5265" spans="1:3" ht="15">
      <c r="A5265" s="90" t="s">
        <v>226</v>
      </c>
      <c r="B5265" s="89" t="s">
        <v>712</v>
      </c>
      <c r="C5265" s="102" t="s">
        <v>971</v>
      </c>
    </row>
    <row r="5266" spans="1:3" ht="15">
      <c r="A5266" s="90" t="s">
        <v>226</v>
      </c>
      <c r="B5266" s="89" t="s">
        <v>3722</v>
      </c>
      <c r="C5266" s="102" t="s">
        <v>971</v>
      </c>
    </row>
    <row r="5267" spans="1:3" ht="15">
      <c r="A5267" s="90" t="s">
        <v>226</v>
      </c>
      <c r="B5267" s="89" t="s">
        <v>3141</v>
      </c>
      <c r="C5267" s="102" t="s">
        <v>971</v>
      </c>
    </row>
    <row r="5268" spans="1:3" ht="15">
      <c r="A5268" s="90" t="s">
        <v>226</v>
      </c>
      <c r="B5268" s="89" t="s">
        <v>2851</v>
      </c>
      <c r="C5268" s="102" t="s">
        <v>971</v>
      </c>
    </row>
    <row r="5269" spans="1:3" ht="15">
      <c r="A5269" s="90" t="s">
        <v>226</v>
      </c>
      <c r="B5269" s="89" t="s">
        <v>3585</v>
      </c>
      <c r="C5269" s="102" t="s">
        <v>971</v>
      </c>
    </row>
    <row r="5270" spans="1:3" ht="15">
      <c r="A5270" s="90" t="s">
        <v>226</v>
      </c>
      <c r="B5270" s="89" t="s">
        <v>2852</v>
      </c>
      <c r="C5270" s="102" t="s">
        <v>971</v>
      </c>
    </row>
    <row r="5271" spans="1:3" ht="15">
      <c r="A5271" s="90" t="s">
        <v>226</v>
      </c>
      <c r="B5271" s="89" t="s">
        <v>2874</v>
      </c>
      <c r="C5271" s="102" t="s">
        <v>971</v>
      </c>
    </row>
    <row r="5272" spans="1:3" ht="15">
      <c r="A5272" s="90" t="s">
        <v>226</v>
      </c>
      <c r="B5272" s="89" t="s">
        <v>2754</v>
      </c>
      <c r="C5272" s="102" t="s">
        <v>971</v>
      </c>
    </row>
    <row r="5273" spans="1:3" ht="15">
      <c r="A5273" s="90" t="s">
        <v>226</v>
      </c>
      <c r="B5273" s="89" t="s">
        <v>3882</v>
      </c>
      <c r="C5273" s="102" t="s">
        <v>971</v>
      </c>
    </row>
    <row r="5274" spans="1:3" ht="15">
      <c r="A5274" s="90" t="s">
        <v>226</v>
      </c>
      <c r="B5274" s="89" t="s">
        <v>3101</v>
      </c>
      <c r="C5274" s="102" t="s">
        <v>971</v>
      </c>
    </row>
    <row r="5275" spans="1:3" ht="15">
      <c r="A5275" s="90" t="s">
        <v>226</v>
      </c>
      <c r="B5275" s="89" t="s">
        <v>3155</v>
      </c>
      <c r="C5275" s="102" t="s">
        <v>971</v>
      </c>
    </row>
    <row r="5276" spans="1:3" ht="15">
      <c r="A5276" s="90" t="s">
        <v>226</v>
      </c>
      <c r="B5276" s="89" t="s">
        <v>3102</v>
      </c>
      <c r="C5276" s="102" t="s">
        <v>971</v>
      </c>
    </row>
    <row r="5277" spans="1:3" ht="15">
      <c r="A5277" s="90" t="s">
        <v>226</v>
      </c>
      <c r="B5277" s="89" t="s">
        <v>2850</v>
      </c>
      <c r="C5277" s="102" t="s">
        <v>971</v>
      </c>
    </row>
    <row r="5278" spans="1:3" ht="15">
      <c r="A5278" s="90" t="s">
        <v>226</v>
      </c>
      <c r="B5278" s="89" t="s">
        <v>4626</v>
      </c>
      <c r="C5278" s="102" t="s">
        <v>971</v>
      </c>
    </row>
    <row r="5279" spans="1:3" ht="15">
      <c r="A5279" s="90" t="s">
        <v>226</v>
      </c>
      <c r="B5279" s="89" t="s">
        <v>3309</v>
      </c>
      <c r="C5279" s="102" t="s">
        <v>971</v>
      </c>
    </row>
    <row r="5280" spans="1:3" ht="15">
      <c r="A5280" s="90" t="s">
        <v>226</v>
      </c>
      <c r="B5280" s="89" t="s">
        <v>3104</v>
      </c>
      <c r="C5280" s="102" t="s">
        <v>971</v>
      </c>
    </row>
    <row r="5281" spans="1:3" ht="15">
      <c r="A5281" s="90" t="s">
        <v>267</v>
      </c>
      <c r="B5281" s="89" t="s">
        <v>3980</v>
      </c>
      <c r="C5281" s="102" t="s">
        <v>1068</v>
      </c>
    </row>
    <row r="5282" spans="1:3" ht="15">
      <c r="A5282" s="90" t="s">
        <v>267</v>
      </c>
      <c r="B5282" s="89" t="s">
        <v>3981</v>
      </c>
      <c r="C5282" s="102" t="s">
        <v>1068</v>
      </c>
    </row>
    <row r="5283" spans="1:3" ht="15">
      <c r="A5283" s="90" t="s">
        <v>267</v>
      </c>
      <c r="B5283" s="89" t="s">
        <v>3982</v>
      </c>
      <c r="C5283" s="102" t="s">
        <v>1068</v>
      </c>
    </row>
    <row r="5284" spans="1:3" ht="15">
      <c r="A5284" s="90" t="s">
        <v>267</v>
      </c>
      <c r="B5284" s="89" t="s">
        <v>2794</v>
      </c>
      <c r="C5284" s="102" t="s">
        <v>1068</v>
      </c>
    </row>
    <row r="5285" spans="1:3" ht="15">
      <c r="A5285" s="90" t="s">
        <v>267</v>
      </c>
      <c r="B5285" s="89" t="s">
        <v>3536</v>
      </c>
      <c r="C5285" s="102" t="s">
        <v>1068</v>
      </c>
    </row>
    <row r="5286" spans="1:3" ht="15">
      <c r="A5286" s="90" t="s">
        <v>267</v>
      </c>
      <c r="B5286" s="89" t="s">
        <v>2795</v>
      </c>
      <c r="C5286" s="102" t="s">
        <v>1068</v>
      </c>
    </row>
    <row r="5287" spans="1:3" ht="15">
      <c r="A5287" s="90" t="s">
        <v>267</v>
      </c>
      <c r="B5287" s="89" t="s">
        <v>3180</v>
      </c>
      <c r="C5287" s="102" t="s">
        <v>1068</v>
      </c>
    </row>
    <row r="5288" spans="1:3" ht="15">
      <c r="A5288" s="90" t="s">
        <v>267</v>
      </c>
      <c r="B5288" s="89" t="s">
        <v>2796</v>
      </c>
      <c r="C5288" s="102" t="s">
        <v>1068</v>
      </c>
    </row>
    <row r="5289" spans="1:3" ht="15">
      <c r="A5289" s="90" t="s">
        <v>267</v>
      </c>
      <c r="B5289" s="89" t="s">
        <v>2741</v>
      </c>
      <c r="C5289" s="102" t="s">
        <v>1068</v>
      </c>
    </row>
    <row r="5290" spans="1:3" ht="15">
      <c r="A5290" s="90" t="s">
        <v>267</v>
      </c>
      <c r="B5290" s="89" t="s">
        <v>2797</v>
      </c>
      <c r="C5290" s="102" t="s">
        <v>1068</v>
      </c>
    </row>
    <row r="5291" spans="1:3" ht="15">
      <c r="A5291" s="90" t="s">
        <v>267</v>
      </c>
      <c r="B5291" s="89" t="s">
        <v>3153</v>
      </c>
      <c r="C5291" s="102" t="s">
        <v>1068</v>
      </c>
    </row>
    <row r="5292" spans="1:3" ht="15">
      <c r="A5292" s="90" t="s">
        <v>267</v>
      </c>
      <c r="B5292" s="89" t="s">
        <v>3201</v>
      </c>
      <c r="C5292" s="102" t="s">
        <v>1068</v>
      </c>
    </row>
    <row r="5293" spans="1:3" ht="15">
      <c r="A5293" s="90" t="s">
        <v>267</v>
      </c>
      <c r="B5293" s="89" t="s">
        <v>3155</v>
      </c>
      <c r="C5293" s="102" t="s">
        <v>1068</v>
      </c>
    </row>
    <row r="5294" spans="1:3" ht="15">
      <c r="A5294" s="90" t="s">
        <v>267</v>
      </c>
      <c r="B5294" s="89" t="s">
        <v>2798</v>
      </c>
      <c r="C5294" s="102" t="s">
        <v>1068</v>
      </c>
    </row>
    <row r="5295" spans="1:3" ht="15">
      <c r="A5295" s="90" t="s">
        <v>267</v>
      </c>
      <c r="B5295" s="89" t="s">
        <v>2759</v>
      </c>
      <c r="C5295" s="102" t="s">
        <v>1068</v>
      </c>
    </row>
    <row r="5296" spans="1:3" ht="15">
      <c r="A5296" s="90" t="s">
        <v>267</v>
      </c>
      <c r="B5296" s="89" t="s">
        <v>2758</v>
      </c>
      <c r="C5296" s="102" t="s">
        <v>1068</v>
      </c>
    </row>
    <row r="5297" spans="1:3" ht="15">
      <c r="A5297" s="90" t="s">
        <v>267</v>
      </c>
      <c r="B5297" s="89" t="s">
        <v>2745</v>
      </c>
      <c r="C5297" s="102" t="s">
        <v>1068</v>
      </c>
    </row>
    <row r="5298" spans="1:3" ht="15">
      <c r="A5298" s="90" t="s">
        <v>267</v>
      </c>
      <c r="B5298" s="89" t="s">
        <v>3145</v>
      </c>
      <c r="C5298" s="102" t="s">
        <v>1068</v>
      </c>
    </row>
    <row r="5299" spans="1:3" ht="15">
      <c r="A5299" s="90" t="s">
        <v>267</v>
      </c>
      <c r="B5299" s="89" t="s">
        <v>2799</v>
      </c>
      <c r="C5299" s="102" t="s">
        <v>1068</v>
      </c>
    </row>
    <row r="5300" spans="1:3" ht="15">
      <c r="A5300" s="90" t="s">
        <v>267</v>
      </c>
      <c r="B5300" s="89" t="s">
        <v>712</v>
      </c>
      <c r="C5300" s="102" t="s">
        <v>1068</v>
      </c>
    </row>
    <row r="5301" spans="1:3" ht="15">
      <c r="A5301" s="90" t="s">
        <v>267</v>
      </c>
      <c r="B5301" s="89" t="s">
        <v>3983</v>
      </c>
      <c r="C5301" s="102" t="s">
        <v>1068</v>
      </c>
    </row>
    <row r="5302" spans="1:3" ht="15">
      <c r="A5302" s="90" t="s">
        <v>267</v>
      </c>
      <c r="B5302" s="89" t="s">
        <v>3141</v>
      </c>
      <c r="C5302" s="102" t="s">
        <v>1068</v>
      </c>
    </row>
    <row r="5303" spans="1:3" ht="15">
      <c r="A5303" s="90" t="s">
        <v>267</v>
      </c>
      <c r="B5303" s="89" t="s">
        <v>2800</v>
      </c>
      <c r="C5303" s="102" t="s">
        <v>1068</v>
      </c>
    </row>
    <row r="5304" spans="1:3" ht="15">
      <c r="A5304" s="90" t="s">
        <v>267</v>
      </c>
      <c r="B5304" s="89" t="s">
        <v>2801</v>
      </c>
      <c r="C5304" s="102" t="s">
        <v>1068</v>
      </c>
    </row>
    <row r="5305" spans="1:3" ht="15">
      <c r="A5305" s="90" t="s">
        <v>267</v>
      </c>
      <c r="B5305" s="89" t="s">
        <v>2802</v>
      </c>
      <c r="C5305" s="102" t="s">
        <v>1068</v>
      </c>
    </row>
    <row r="5306" spans="1:3" ht="15">
      <c r="A5306" s="90" t="s">
        <v>267</v>
      </c>
      <c r="B5306" s="89" t="s">
        <v>2729</v>
      </c>
      <c r="C5306" s="102" t="s">
        <v>1068</v>
      </c>
    </row>
    <row r="5307" spans="1:3" ht="15">
      <c r="A5307" s="90" t="s">
        <v>267</v>
      </c>
      <c r="B5307" s="89" t="s">
        <v>2674</v>
      </c>
      <c r="C5307" s="102" t="s">
        <v>1068</v>
      </c>
    </row>
    <row r="5308" spans="1:3" ht="15">
      <c r="A5308" s="90" t="s">
        <v>267</v>
      </c>
      <c r="B5308" s="89" t="s">
        <v>2803</v>
      </c>
      <c r="C5308" s="102" t="s">
        <v>1068</v>
      </c>
    </row>
    <row r="5309" spans="1:3" ht="15">
      <c r="A5309" s="90" t="s">
        <v>267</v>
      </c>
      <c r="B5309" s="89" t="s">
        <v>2804</v>
      </c>
      <c r="C5309" s="102" t="s">
        <v>1068</v>
      </c>
    </row>
    <row r="5310" spans="1:3" ht="15">
      <c r="A5310" s="90" t="s">
        <v>225</v>
      </c>
      <c r="B5310" s="89" t="s">
        <v>3980</v>
      </c>
      <c r="C5310" s="102" t="s">
        <v>970</v>
      </c>
    </row>
    <row r="5311" spans="1:3" ht="15">
      <c r="A5311" s="90" t="s">
        <v>225</v>
      </c>
      <c r="B5311" s="89" t="s">
        <v>3981</v>
      </c>
      <c r="C5311" s="102" t="s">
        <v>970</v>
      </c>
    </row>
    <row r="5312" spans="1:3" ht="15">
      <c r="A5312" s="90" t="s">
        <v>225</v>
      </c>
      <c r="B5312" s="89" t="s">
        <v>3982</v>
      </c>
      <c r="C5312" s="102" t="s">
        <v>970</v>
      </c>
    </row>
    <row r="5313" spans="1:3" ht="15">
      <c r="A5313" s="90" t="s">
        <v>225</v>
      </c>
      <c r="B5313" s="89" t="s">
        <v>2794</v>
      </c>
      <c r="C5313" s="102" t="s">
        <v>970</v>
      </c>
    </row>
    <row r="5314" spans="1:3" ht="15">
      <c r="A5314" s="90" t="s">
        <v>225</v>
      </c>
      <c r="B5314" s="89" t="s">
        <v>3536</v>
      </c>
      <c r="C5314" s="102" t="s">
        <v>970</v>
      </c>
    </row>
    <row r="5315" spans="1:3" ht="15">
      <c r="A5315" s="90" t="s">
        <v>225</v>
      </c>
      <c r="B5315" s="89" t="s">
        <v>2795</v>
      </c>
      <c r="C5315" s="102" t="s">
        <v>970</v>
      </c>
    </row>
    <row r="5316" spans="1:3" ht="15">
      <c r="A5316" s="90" t="s">
        <v>225</v>
      </c>
      <c r="B5316" s="89" t="s">
        <v>3180</v>
      </c>
      <c r="C5316" s="102" t="s">
        <v>970</v>
      </c>
    </row>
    <row r="5317" spans="1:3" ht="15">
      <c r="A5317" s="90" t="s">
        <v>225</v>
      </c>
      <c r="B5317" s="89" t="s">
        <v>2796</v>
      </c>
      <c r="C5317" s="102" t="s">
        <v>970</v>
      </c>
    </row>
    <row r="5318" spans="1:3" ht="15">
      <c r="A5318" s="90" t="s">
        <v>225</v>
      </c>
      <c r="B5318" s="89" t="s">
        <v>2741</v>
      </c>
      <c r="C5318" s="102" t="s">
        <v>970</v>
      </c>
    </row>
    <row r="5319" spans="1:3" ht="15">
      <c r="A5319" s="90" t="s">
        <v>225</v>
      </c>
      <c r="B5319" s="89" t="s">
        <v>2797</v>
      </c>
      <c r="C5319" s="102" t="s">
        <v>970</v>
      </c>
    </row>
    <row r="5320" spans="1:3" ht="15">
      <c r="A5320" s="90" t="s">
        <v>225</v>
      </c>
      <c r="B5320" s="89" t="s">
        <v>3153</v>
      </c>
      <c r="C5320" s="102" t="s">
        <v>970</v>
      </c>
    </row>
    <row r="5321" spans="1:3" ht="15">
      <c r="A5321" s="90" t="s">
        <v>225</v>
      </c>
      <c r="B5321" s="89" t="s">
        <v>3201</v>
      </c>
      <c r="C5321" s="102" t="s">
        <v>970</v>
      </c>
    </row>
    <row r="5322" spans="1:3" ht="15">
      <c r="A5322" s="90" t="s">
        <v>225</v>
      </c>
      <c r="B5322" s="89" t="s">
        <v>3155</v>
      </c>
      <c r="C5322" s="102" t="s">
        <v>970</v>
      </c>
    </row>
    <row r="5323" spans="1:3" ht="15">
      <c r="A5323" s="90" t="s">
        <v>225</v>
      </c>
      <c r="B5323" s="89" t="s">
        <v>2798</v>
      </c>
      <c r="C5323" s="102" t="s">
        <v>970</v>
      </c>
    </row>
    <row r="5324" spans="1:3" ht="15">
      <c r="A5324" s="90" t="s">
        <v>225</v>
      </c>
      <c r="B5324" s="89" t="s">
        <v>2759</v>
      </c>
      <c r="C5324" s="102" t="s">
        <v>970</v>
      </c>
    </row>
    <row r="5325" spans="1:3" ht="15">
      <c r="A5325" s="90" t="s">
        <v>225</v>
      </c>
      <c r="B5325" s="89" t="s">
        <v>2758</v>
      </c>
      <c r="C5325" s="102" t="s">
        <v>970</v>
      </c>
    </row>
    <row r="5326" spans="1:3" ht="15">
      <c r="A5326" s="90" t="s">
        <v>225</v>
      </c>
      <c r="B5326" s="89" t="s">
        <v>2745</v>
      </c>
      <c r="C5326" s="102" t="s">
        <v>970</v>
      </c>
    </row>
    <row r="5327" spans="1:3" ht="15">
      <c r="A5327" s="90" t="s">
        <v>225</v>
      </c>
      <c r="B5327" s="89" t="s">
        <v>3145</v>
      </c>
      <c r="C5327" s="102" t="s">
        <v>970</v>
      </c>
    </row>
    <row r="5328" spans="1:3" ht="15">
      <c r="A5328" s="90" t="s">
        <v>225</v>
      </c>
      <c r="B5328" s="89" t="s">
        <v>2799</v>
      </c>
      <c r="C5328" s="102" t="s">
        <v>970</v>
      </c>
    </row>
    <row r="5329" spans="1:3" ht="15">
      <c r="A5329" s="90" t="s">
        <v>225</v>
      </c>
      <c r="B5329" s="89" t="s">
        <v>712</v>
      </c>
      <c r="C5329" s="102" t="s">
        <v>970</v>
      </c>
    </row>
    <row r="5330" spans="1:3" ht="15">
      <c r="A5330" s="90" t="s">
        <v>225</v>
      </c>
      <c r="B5330" s="89" t="s">
        <v>3983</v>
      </c>
      <c r="C5330" s="102" t="s">
        <v>970</v>
      </c>
    </row>
    <row r="5331" spans="1:3" ht="15">
      <c r="A5331" s="90" t="s">
        <v>225</v>
      </c>
      <c r="B5331" s="89" t="s">
        <v>3141</v>
      </c>
      <c r="C5331" s="102" t="s">
        <v>970</v>
      </c>
    </row>
    <row r="5332" spans="1:3" ht="15">
      <c r="A5332" s="90" t="s">
        <v>225</v>
      </c>
      <c r="B5332" s="89" t="s">
        <v>2800</v>
      </c>
      <c r="C5332" s="102" t="s">
        <v>970</v>
      </c>
    </row>
    <row r="5333" spans="1:3" ht="15">
      <c r="A5333" s="90" t="s">
        <v>225</v>
      </c>
      <c r="B5333" s="89" t="s">
        <v>2801</v>
      </c>
      <c r="C5333" s="102" t="s">
        <v>970</v>
      </c>
    </row>
    <row r="5334" spans="1:3" ht="15">
      <c r="A5334" s="90" t="s">
        <v>225</v>
      </c>
      <c r="B5334" s="89" t="s">
        <v>2802</v>
      </c>
      <c r="C5334" s="102" t="s">
        <v>970</v>
      </c>
    </row>
    <row r="5335" spans="1:3" ht="15">
      <c r="A5335" s="90" t="s">
        <v>225</v>
      </c>
      <c r="B5335" s="89" t="s">
        <v>2729</v>
      </c>
      <c r="C5335" s="102" t="s">
        <v>970</v>
      </c>
    </row>
    <row r="5336" spans="1:3" ht="15">
      <c r="A5336" s="90" t="s">
        <v>225</v>
      </c>
      <c r="B5336" s="89" t="s">
        <v>2674</v>
      </c>
      <c r="C5336" s="102" t="s">
        <v>970</v>
      </c>
    </row>
    <row r="5337" spans="1:3" ht="15">
      <c r="A5337" s="90" t="s">
        <v>225</v>
      </c>
      <c r="B5337" s="89" t="s">
        <v>2803</v>
      </c>
      <c r="C5337" s="102" t="s">
        <v>970</v>
      </c>
    </row>
    <row r="5338" spans="1:3" ht="15">
      <c r="A5338" s="90" t="s">
        <v>225</v>
      </c>
      <c r="B5338" s="89" t="s">
        <v>2804</v>
      </c>
      <c r="C5338" s="102" t="s">
        <v>970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8E3B-758B-489D-8A82-8C470AD58FB3}">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2651</v>
      </c>
      <c r="B1" s="13" t="s">
        <v>5148</v>
      </c>
    </row>
    <row r="2" spans="1:2" ht="15">
      <c r="A2" s="89" t="s">
        <v>4627</v>
      </c>
      <c r="B2" s="89" t="s">
        <v>5149</v>
      </c>
    </row>
    <row r="3" spans="1:2" ht="15">
      <c r="A3" s="90" t="s">
        <v>3609</v>
      </c>
      <c r="B3" s="89" t="s">
        <v>5149</v>
      </c>
    </row>
    <row r="4" spans="1:2" ht="15">
      <c r="A4" s="90" t="s">
        <v>3867</v>
      </c>
      <c r="B4" s="89" t="s">
        <v>5149</v>
      </c>
    </row>
    <row r="5" spans="1:2" ht="15">
      <c r="A5" s="90" t="s">
        <v>4628</v>
      </c>
      <c r="B5" s="89" t="s">
        <v>5149</v>
      </c>
    </row>
    <row r="6" spans="1:2" ht="15">
      <c r="A6" s="90" t="s">
        <v>4629</v>
      </c>
      <c r="B6" s="89" t="s">
        <v>5149</v>
      </c>
    </row>
    <row r="7" spans="1:2" ht="15">
      <c r="A7" s="90" t="s">
        <v>4630</v>
      </c>
      <c r="B7" s="89" t="s">
        <v>5149</v>
      </c>
    </row>
    <row r="8" spans="1:2" ht="15">
      <c r="A8" s="90" t="s">
        <v>4631</v>
      </c>
      <c r="B8" s="89" t="s">
        <v>5149</v>
      </c>
    </row>
    <row r="9" spans="1:2" ht="15">
      <c r="A9" s="90" t="s">
        <v>4632</v>
      </c>
      <c r="B9" s="89" t="s">
        <v>5149</v>
      </c>
    </row>
    <row r="10" spans="1:2" ht="15">
      <c r="A10" s="90" t="s">
        <v>4633</v>
      </c>
      <c r="B10" s="89" t="s">
        <v>5149</v>
      </c>
    </row>
    <row r="11" spans="1:2" ht="15">
      <c r="A11" s="90" t="s">
        <v>4634</v>
      </c>
      <c r="B11" s="89" t="s">
        <v>5149</v>
      </c>
    </row>
    <row r="12" spans="1:2" ht="15">
      <c r="A12" s="90" t="s">
        <v>4635</v>
      </c>
      <c r="B12" s="89" t="s">
        <v>5149</v>
      </c>
    </row>
    <row r="13" spans="1:2" ht="15">
      <c r="A13" s="90" t="s">
        <v>4636</v>
      </c>
      <c r="B13" s="89" t="s">
        <v>5149</v>
      </c>
    </row>
    <row r="14" spans="1:2" ht="15">
      <c r="A14" s="90" t="s">
        <v>4637</v>
      </c>
      <c r="B14" s="89" t="s">
        <v>5149</v>
      </c>
    </row>
    <row r="15" spans="1:2" ht="15">
      <c r="A15" s="90" t="s">
        <v>3632</v>
      </c>
      <c r="B15" s="89" t="s">
        <v>5149</v>
      </c>
    </row>
    <row r="16" spans="1:2" ht="15">
      <c r="A16" s="90" t="s">
        <v>4109</v>
      </c>
      <c r="B16" s="89" t="s">
        <v>5149</v>
      </c>
    </row>
    <row r="17" spans="1:2" ht="15">
      <c r="A17" s="90" t="s">
        <v>4638</v>
      </c>
      <c r="B17" s="89" t="s">
        <v>5149</v>
      </c>
    </row>
    <row r="18" spans="1:2" ht="15">
      <c r="A18" s="90" t="s">
        <v>4639</v>
      </c>
      <c r="B18" s="89" t="s">
        <v>5149</v>
      </c>
    </row>
    <row r="19" spans="1:2" ht="15">
      <c r="A19" s="90" t="s">
        <v>4640</v>
      </c>
      <c r="B19" s="89" t="s">
        <v>5149</v>
      </c>
    </row>
    <row r="20" spans="1:2" ht="15">
      <c r="A20" s="90" t="s">
        <v>4641</v>
      </c>
      <c r="B20" s="89" t="s">
        <v>5149</v>
      </c>
    </row>
    <row r="21" spans="1:2" ht="15">
      <c r="A21" s="90" t="s">
        <v>4642</v>
      </c>
      <c r="B21" s="89" t="s">
        <v>5149</v>
      </c>
    </row>
    <row r="22" spans="1:2" ht="15">
      <c r="A22" s="90" t="s">
        <v>3863</v>
      </c>
      <c r="B22" s="89" t="s">
        <v>5149</v>
      </c>
    </row>
    <row r="23" spans="1:2" ht="15">
      <c r="A23" s="90" t="s">
        <v>4643</v>
      </c>
      <c r="B23" s="89" t="s">
        <v>5149</v>
      </c>
    </row>
    <row r="24" spans="1:2" ht="15">
      <c r="A24" s="90" t="s">
        <v>4644</v>
      </c>
      <c r="B24" s="89" t="s">
        <v>5149</v>
      </c>
    </row>
    <row r="25" spans="1:2" ht="15">
      <c r="A25" s="90" t="s">
        <v>4645</v>
      </c>
      <c r="B25" s="89" t="s">
        <v>5149</v>
      </c>
    </row>
    <row r="26" spans="1:2" ht="15">
      <c r="A26" s="90" t="s">
        <v>4646</v>
      </c>
      <c r="B26" s="89" t="s">
        <v>5149</v>
      </c>
    </row>
    <row r="27" spans="1:2" ht="15">
      <c r="A27" s="90" t="s">
        <v>4647</v>
      </c>
      <c r="B27" s="89" t="s">
        <v>5149</v>
      </c>
    </row>
    <row r="28" spans="1:2" ht="15">
      <c r="A28" s="90" t="s">
        <v>4648</v>
      </c>
      <c r="B28" s="89" t="s">
        <v>5149</v>
      </c>
    </row>
    <row r="29" spans="1:2" ht="15">
      <c r="A29" s="90" t="s">
        <v>4649</v>
      </c>
      <c r="B29" s="89" t="s">
        <v>5149</v>
      </c>
    </row>
    <row r="30" spans="1:2" ht="15">
      <c r="A30" s="90" t="s">
        <v>4650</v>
      </c>
      <c r="B30" s="89" t="s">
        <v>5149</v>
      </c>
    </row>
    <row r="31" spans="1:2" ht="15">
      <c r="A31" s="90" t="s">
        <v>4651</v>
      </c>
      <c r="B31" s="89" t="s">
        <v>5149</v>
      </c>
    </row>
    <row r="32" spans="1:2" ht="15">
      <c r="A32" s="90" t="s">
        <v>4652</v>
      </c>
      <c r="B32" s="89" t="s">
        <v>5149</v>
      </c>
    </row>
    <row r="33" spans="1:2" ht="15">
      <c r="A33" s="90" t="s">
        <v>4653</v>
      </c>
      <c r="B33" s="89" t="s">
        <v>5149</v>
      </c>
    </row>
    <row r="34" spans="1:2" ht="15">
      <c r="A34" s="90" t="s">
        <v>4654</v>
      </c>
      <c r="B34" s="89" t="s">
        <v>5149</v>
      </c>
    </row>
    <row r="35" spans="1:2" ht="15">
      <c r="A35" s="90" t="s">
        <v>4655</v>
      </c>
      <c r="B35" s="89" t="s">
        <v>5149</v>
      </c>
    </row>
    <row r="36" spans="1:2" ht="15">
      <c r="A36" s="90" t="s">
        <v>4656</v>
      </c>
      <c r="B36" s="89" t="s">
        <v>5149</v>
      </c>
    </row>
    <row r="37" spans="1:2" ht="15">
      <c r="A37" s="90" t="s">
        <v>4657</v>
      </c>
      <c r="B37" s="89" t="s">
        <v>5149</v>
      </c>
    </row>
    <row r="38" spans="1:2" ht="15">
      <c r="A38" s="90" t="s">
        <v>4658</v>
      </c>
      <c r="B38" s="89" t="s">
        <v>5149</v>
      </c>
    </row>
    <row r="39" spans="1:2" ht="15">
      <c r="A39" s="90" t="s">
        <v>4659</v>
      </c>
      <c r="B39" s="89" t="s">
        <v>5149</v>
      </c>
    </row>
    <row r="40" spans="1:2" ht="15">
      <c r="A40" s="90" t="s">
        <v>4660</v>
      </c>
      <c r="B40" s="89" t="s">
        <v>5149</v>
      </c>
    </row>
    <row r="41" spans="1:2" ht="15">
      <c r="A41" s="90" t="s">
        <v>4661</v>
      </c>
      <c r="B41" s="89" t="s">
        <v>5149</v>
      </c>
    </row>
    <row r="42" spans="1:2" ht="15">
      <c r="A42" s="90" t="s">
        <v>4662</v>
      </c>
      <c r="B42" s="89" t="s">
        <v>5149</v>
      </c>
    </row>
    <row r="43" spans="1:2" ht="15">
      <c r="A43" s="90" t="s">
        <v>4663</v>
      </c>
      <c r="B43" s="89" t="s">
        <v>5149</v>
      </c>
    </row>
    <row r="44" spans="1:2" ht="15">
      <c r="A44" s="90" t="s">
        <v>4664</v>
      </c>
      <c r="B44" s="89" t="s">
        <v>5149</v>
      </c>
    </row>
    <row r="45" spans="1:2" ht="15">
      <c r="A45" s="90" t="s">
        <v>4665</v>
      </c>
      <c r="B45" s="89" t="s">
        <v>5149</v>
      </c>
    </row>
    <row r="46" spans="1:2" ht="15">
      <c r="A46" s="90" t="s">
        <v>4666</v>
      </c>
      <c r="B46" s="89" t="s">
        <v>5149</v>
      </c>
    </row>
    <row r="47" spans="1:2" ht="15">
      <c r="A47" s="90" t="s">
        <v>3676</v>
      </c>
      <c r="B47" s="89" t="s">
        <v>5149</v>
      </c>
    </row>
    <row r="48" spans="1:2" ht="15">
      <c r="A48" s="90" t="s">
        <v>4667</v>
      </c>
      <c r="B48" s="89" t="s">
        <v>5149</v>
      </c>
    </row>
    <row r="49" spans="1:2" ht="15">
      <c r="A49" s="90" t="s">
        <v>4668</v>
      </c>
      <c r="B49" s="89" t="s">
        <v>5149</v>
      </c>
    </row>
    <row r="50" spans="1:2" ht="15">
      <c r="A50" s="90" t="s">
        <v>4149</v>
      </c>
      <c r="B50" s="89" t="s">
        <v>5149</v>
      </c>
    </row>
    <row r="51" spans="1:2" ht="15">
      <c r="A51" s="90" t="s">
        <v>3689</v>
      </c>
      <c r="B51" s="89" t="s">
        <v>5149</v>
      </c>
    </row>
    <row r="52" spans="1:2" ht="15">
      <c r="A52" s="90" t="s">
        <v>4669</v>
      </c>
      <c r="B52" s="89" t="s">
        <v>5149</v>
      </c>
    </row>
    <row r="53" spans="1:2" ht="15">
      <c r="A53" s="90" t="s">
        <v>4670</v>
      </c>
      <c r="B53" s="89" t="s">
        <v>5149</v>
      </c>
    </row>
    <row r="54" spans="1:2" ht="15">
      <c r="A54" s="90" t="s">
        <v>4671</v>
      </c>
      <c r="B54" s="89" t="s">
        <v>5149</v>
      </c>
    </row>
    <row r="55" spans="1:2" ht="15">
      <c r="A55" s="90" t="s">
        <v>3599</v>
      </c>
      <c r="B55" s="89" t="s">
        <v>5149</v>
      </c>
    </row>
    <row r="56" spans="1:2" ht="15">
      <c r="A56" s="90" t="s">
        <v>4672</v>
      </c>
      <c r="B56" s="89" t="s">
        <v>5149</v>
      </c>
    </row>
    <row r="57" spans="1:2" ht="15">
      <c r="A57" s="90" t="s">
        <v>4673</v>
      </c>
      <c r="B57" s="89" t="s">
        <v>5149</v>
      </c>
    </row>
    <row r="58" spans="1:2" ht="15">
      <c r="A58" s="90" t="s">
        <v>4674</v>
      </c>
      <c r="B58" s="89" t="s">
        <v>5149</v>
      </c>
    </row>
    <row r="59" spans="1:2" ht="15">
      <c r="A59" s="90" t="s">
        <v>4675</v>
      </c>
      <c r="B59" s="89" t="s">
        <v>5149</v>
      </c>
    </row>
    <row r="60" spans="1:2" ht="15">
      <c r="A60" s="90" t="s">
        <v>3188</v>
      </c>
      <c r="B60" s="89" t="s">
        <v>5149</v>
      </c>
    </row>
    <row r="61" spans="1:2" ht="15">
      <c r="A61" s="90" t="s">
        <v>4676</v>
      </c>
      <c r="B61" s="89" t="s">
        <v>5149</v>
      </c>
    </row>
    <row r="62" spans="1:2" ht="15">
      <c r="A62" s="90" t="s">
        <v>4677</v>
      </c>
      <c r="B62" s="89" t="s">
        <v>5149</v>
      </c>
    </row>
    <row r="63" spans="1:2" ht="15">
      <c r="A63" s="90" t="s">
        <v>3620</v>
      </c>
      <c r="B63" s="89" t="s">
        <v>5149</v>
      </c>
    </row>
    <row r="64" spans="1:2" ht="15">
      <c r="A64" s="90" t="s">
        <v>4678</v>
      </c>
      <c r="B64" s="89" t="s">
        <v>5149</v>
      </c>
    </row>
    <row r="65" spans="1:2" ht="15">
      <c r="A65" s="90" t="s">
        <v>4679</v>
      </c>
      <c r="B65" s="89" t="s">
        <v>5149</v>
      </c>
    </row>
    <row r="66" spans="1:2" ht="15">
      <c r="A66" s="90" t="s">
        <v>4680</v>
      </c>
      <c r="B66" s="89" t="s">
        <v>5149</v>
      </c>
    </row>
    <row r="67" spans="1:2" ht="15">
      <c r="A67" s="90" t="s">
        <v>4681</v>
      </c>
      <c r="B67" s="89" t="s">
        <v>5149</v>
      </c>
    </row>
    <row r="68" spans="1:2" ht="15">
      <c r="A68" s="90" t="s">
        <v>4682</v>
      </c>
      <c r="B68" s="89" t="s">
        <v>5149</v>
      </c>
    </row>
    <row r="69" spans="1:2" ht="15">
      <c r="A69" s="90" t="s">
        <v>4683</v>
      </c>
      <c r="B69" s="89" t="s">
        <v>5149</v>
      </c>
    </row>
    <row r="70" spans="1:2" ht="15">
      <c r="A70" s="90" t="s">
        <v>4684</v>
      </c>
      <c r="B70" s="89" t="s">
        <v>5149</v>
      </c>
    </row>
    <row r="71" spans="1:2" ht="15">
      <c r="A71" s="90" t="s">
        <v>4685</v>
      </c>
      <c r="B71" s="89" t="s">
        <v>5149</v>
      </c>
    </row>
    <row r="72" spans="1:2" ht="15">
      <c r="A72" s="90" t="s">
        <v>4686</v>
      </c>
      <c r="B72" s="89" t="s">
        <v>5149</v>
      </c>
    </row>
    <row r="73" spans="1:2" ht="15">
      <c r="A73" s="90" t="s">
        <v>4687</v>
      </c>
      <c r="B73" s="89" t="s">
        <v>5149</v>
      </c>
    </row>
    <row r="74" spans="1:2" ht="15">
      <c r="A74" s="90" t="s">
        <v>4688</v>
      </c>
      <c r="B74" s="89" t="s">
        <v>5149</v>
      </c>
    </row>
    <row r="75" spans="1:2" ht="15">
      <c r="A75" s="90" t="s">
        <v>4689</v>
      </c>
      <c r="B75" s="89" t="s">
        <v>5149</v>
      </c>
    </row>
    <row r="76" spans="1:2" ht="15">
      <c r="A76" s="90" t="s">
        <v>4690</v>
      </c>
      <c r="B76" s="89" t="s">
        <v>5149</v>
      </c>
    </row>
    <row r="77" spans="1:2" ht="15">
      <c r="A77" s="90" t="s">
        <v>4691</v>
      </c>
      <c r="B77" s="89" t="s">
        <v>5149</v>
      </c>
    </row>
    <row r="78" spans="1:2" ht="15">
      <c r="A78" s="90" t="s">
        <v>4102</v>
      </c>
      <c r="B78" s="89" t="s">
        <v>5149</v>
      </c>
    </row>
    <row r="79" spans="1:2" ht="15">
      <c r="A79" s="90" t="s">
        <v>4692</v>
      </c>
      <c r="B79" s="89" t="s">
        <v>5149</v>
      </c>
    </row>
    <row r="80" spans="1:2" ht="15">
      <c r="A80" s="90" t="s">
        <v>4693</v>
      </c>
      <c r="B80" s="89" t="s">
        <v>5149</v>
      </c>
    </row>
    <row r="81" spans="1:2" ht="15">
      <c r="A81" s="90" t="s">
        <v>4287</v>
      </c>
      <c r="B81" s="89" t="s">
        <v>5149</v>
      </c>
    </row>
    <row r="82" spans="1:2" ht="15">
      <c r="A82" s="90" t="s">
        <v>3155</v>
      </c>
      <c r="B82" s="89" t="s">
        <v>5149</v>
      </c>
    </row>
    <row r="83" spans="1:2" ht="15">
      <c r="A83" s="90" t="s">
        <v>3170</v>
      </c>
      <c r="B83" s="89" t="s">
        <v>5149</v>
      </c>
    </row>
    <row r="84" spans="1:2" ht="15">
      <c r="A84" s="90" t="s">
        <v>4694</v>
      </c>
      <c r="B84" s="89" t="s">
        <v>5149</v>
      </c>
    </row>
    <row r="85" spans="1:2" ht="15">
      <c r="A85" s="90" t="s">
        <v>3404</v>
      </c>
      <c r="B85" s="89" t="s">
        <v>5149</v>
      </c>
    </row>
    <row r="86" spans="1:2" ht="15">
      <c r="A86" s="90" t="s">
        <v>3161</v>
      </c>
      <c r="B86" s="89" t="s">
        <v>5149</v>
      </c>
    </row>
    <row r="87" spans="1:2" ht="15">
      <c r="A87" s="90" t="s">
        <v>4695</v>
      </c>
      <c r="B87" s="89" t="s">
        <v>5149</v>
      </c>
    </row>
    <row r="88" spans="1:2" ht="15">
      <c r="A88" s="90" t="s">
        <v>4696</v>
      </c>
      <c r="B88" s="89" t="s">
        <v>5149</v>
      </c>
    </row>
    <row r="89" spans="1:2" ht="15">
      <c r="A89" s="90" t="s">
        <v>4697</v>
      </c>
      <c r="B89" s="89" t="s">
        <v>5149</v>
      </c>
    </row>
    <row r="90" spans="1:2" ht="15">
      <c r="A90" s="90" t="s">
        <v>4698</v>
      </c>
      <c r="B90" s="89" t="s">
        <v>5149</v>
      </c>
    </row>
    <row r="91" spans="1:2" ht="15">
      <c r="A91" s="90" t="s">
        <v>3436</v>
      </c>
      <c r="B91" s="89" t="s">
        <v>5149</v>
      </c>
    </row>
    <row r="92" spans="1:2" ht="15">
      <c r="A92" s="90" t="s">
        <v>4699</v>
      </c>
      <c r="B92" s="89" t="s">
        <v>5149</v>
      </c>
    </row>
    <row r="93" spans="1:2" ht="15">
      <c r="A93" s="90" t="s">
        <v>4700</v>
      </c>
      <c r="B93" s="89" t="s">
        <v>5149</v>
      </c>
    </row>
    <row r="94" spans="1:2" ht="15">
      <c r="A94" s="90" t="s">
        <v>3770</v>
      </c>
      <c r="B94" s="89" t="s">
        <v>5149</v>
      </c>
    </row>
    <row r="95" spans="1:2" ht="15">
      <c r="A95" s="90" t="s">
        <v>3464</v>
      </c>
      <c r="B95" s="89" t="s">
        <v>5149</v>
      </c>
    </row>
    <row r="96" spans="1:2" ht="15">
      <c r="A96" s="90" t="s">
        <v>3491</v>
      </c>
      <c r="B96" s="89" t="s">
        <v>5149</v>
      </c>
    </row>
    <row r="97" spans="1:2" ht="15">
      <c r="A97" s="90" t="s">
        <v>4701</v>
      </c>
      <c r="B97" s="89" t="s">
        <v>5149</v>
      </c>
    </row>
    <row r="98" spans="1:2" ht="15">
      <c r="A98" s="90" t="s">
        <v>3358</v>
      </c>
      <c r="B98" s="89" t="s">
        <v>5149</v>
      </c>
    </row>
    <row r="99" spans="1:2" ht="15">
      <c r="A99" s="90" t="s">
        <v>4702</v>
      </c>
      <c r="B99" s="89" t="s">
        <v>5149</v>
      </c>
    </row>
    <row r="100" spans="1:2" ht="15">
      <c r="A100" s="90" t="s">
        <v>4703</v>
      </c>
      <c r="B100" s="89" t="s">
        <v>5149</v>
      </c>
    </row>
    <row r="101" spans="1:2" ht="15">
      <c r="A101" s="90" t="s">
        <v>4704</v>
      </c>
      <c r="B101" s="89" t="s">
        <v>5149</v>
      </c>
    </row>
    <row r="102" spans="1:2" ht="15">
      <c r="A102" s="90" t="s">
        <v>4705</v>
      </c>
      <c r="B102" s="89" t="s">
        <v>5149</v>
      </c>
    </row>
    <row r="103" spans="1:2" ht="15">
      <c r="A103" s="90" t="s">
        <v>4706</v>
      </c>
      <c r="B103" s="89" t="s">
        <v>5149</v>
      </c>
    </row>
    <row r="104" spans="1:2" ht="15">
      <c r="A104" s="90" t="s">
        <v>4707</v>
      </c>
      <c r="B104" s="89" t="s">
        <v>5149</v>
      </c>
    </row>
    <row r="105" spans="1:2" ht="15">
      <c r="A105" s="90" t="s">
        <v>4708</v>
      </c>
      <c r="B105" s="89" t="s">
        <v>5149</v>
      </c>
    </row>
    <row r="106" spans="1:2" ht="15">
      <c r="A106" s="90" t="s">
        <v>4709</v>
      </c>
      <c r="B106" s="89" t="s">
        <v>5149</v>
      </c>
    </row>
    <row r="107" spans="1:2" ht="15">
      <c r="A107" s="90" t="s">
        <v>4710</v>
      </c>
      <c r="B107" s="89" t="s">
        <v>5149</v>
      </c>
    </row>
    <row r="108" spans="1:2" ht="15">
      <c r="A108" s="90" t="s">
        <v>4711</v>
      </c>
      <c r="B108" s="89" t="s">
        <v>5149</v>
      </c>
    </row>
    <row r="109" spans="1:2" ht="15">
      <c r="A109" s="90" t="s">
        <v>4103</v>
      </c>
      <c r="B109" s="89" t="s">
        <v>5149</v>
      </c>
    </row>
    <row r="110" spans="1:2" ht="15">
      <c r="A110" s="90" t="s">
        <v>4712</v>
      </c>
      <c r="B110" s="89" t="s">
        <v>5149</v>
      </c>
    </row>
    <row r="111" spans="1:2" ht="15">
      <c r="A111" s="90" t="s">
        <v>4713</v>
      </c>
      <c r="B111" s="89" t="s">
        <v>5149</v>
      </c>
    </row>
    <row r="112" spans="1:2" ht="15">
      <c r="A112" s="90" t="s">
        <v>4714</v>
      </c>
      <c r="B112" s="89" t="s">
        <v>5149</v>
      </c>
    </row>
    <row r="113" spans="1:2" ht="15">
      <c r="A113" s="90" t="s">
        <v>4715</v>
      </c>
      <c r="B113" s="89" t="s">
        <v>5149</v>
      </c>
    </row>
    <row r="114" spans="1:2" ht="15">
      <c r="A114" s="90" t="s">
        <v>4716</v>
      </c>
      <c r="B114" s="89" t="s">
        <v>5149</v>
      </c>
    </row>
    <row r="115" spans="1:2" ht="15">
      <c r="A115" s="90" t="s">
        <v>4717</v>
      </c>
      <c r="B115" s="89" t="s">
        <v>5149</v>
      </c>
    </row>
    <row r="116" spans="1:2" ht="15">
      <c r="A116" s="90" t="s">
        <v>4718</v>
      </c>
      <c r="B116" s="89" t="s">
        <v>5149</v>
      </c>
    </row>
    <row r="117" spans="1:2" ht="15">
      <c r="A117" s="90" t="s">
        <v>4719</v>
      </c>
      <c r="B117" s="89" t="s">
        <v>5149</v>
      </c>
    </row>
    <row r="118" spans="1:2" ht="15">
      <c r="A118" s="90" t="s">
        <v>3422</v>
      </c>
      <c r="B118" s="89" t="s">
        <v>5149</v>
      </c>
    </row>
    <row r="119" spans="1:2" ht="15">
      <c r="A119" s="90" t="s">
        <v>4308</v>
      </c>
      <c r="B119" s="89" t="s">
        <v>5149</v>
      </c>
    </row>
    <row r="120" spans="1:2" ht="15">
      <c r="A120" s="90" t="s">
        <v>4720</v>
      </c>
      <c r="B120" s="89" t="s">
        <v>5149</v>
      </c>
    </row>
    <row r="121" spans="1:2" ht="15">
      <c r="A121" s="90" t="s">
        <v>4721</v>
      </c>
      <c r="B121" s="89" t="s">
        <v>5149</v>
      </c>
    </row>
    <row r="122" spans="1:2" ht="15">
      <c r="A122" s="90" t="s">
        <v>3519</v>
      </c>
      <c r="B122" s="89" t="s">
        <v>5149</v>
      </c>
    </row>
    <row r="123" spans="1:2" ht="15">
      <c r="A123" s="90" t="s">
        <v>4722</v>
      </c>
      <c r="B123" s="89" t="s">
        <v>5149</v>
      </c>
    </row>
    <row r="124" spans="1:2" ht="15">
      <c r="A124" s="90" t="s">
        <v>3984</v>
      </c>
      <c r="B124" s="89" t="s">
        <v>5149</v>
      </c>
    </row>
    <row r="125" spans="1:2" ht="15">
      <c r="A125" s="90" t="s">
        <v>1445</v>
      </c>
      <c r="B125" s="89" t="s">
        <v>5149</v>
      </c>
    </row>
    <row r="126" spans="1:2" ht="15">
      <c r="A126" s="90" t="s">
        <v>4723</v>
      </c>
      <c r="B126" s="89" t="s">
        <v>5149</v>
      </c>
    </row>
    <row r="127" spans="1:2" ht="15">
      <c r="A127" s="90" t="s">
        <v>4724</v>
      </c>
      <c r="B127" s="89" t="s">
        <v>5149</v>
      </c>
    </row>
    <row r="128" spans="1:2" ht="15">
      <c r="A128" s="90" t="s">
        <v>3165</v>
      </c>
      <c r="B128" s="89" t="s">
        <v>5149</v>
      </c>
    </row>
    <row r="129" spans="1:2" ht="15">
      <c r="A129" s="90" t="s">
        <v>4725</v>
      </c>
      <c r="B129" s="89" t="s">
        <v>5149</v>
      </c>
    </row>
    <row r="130" spans="1:2" ht="15">
      <c r="A130" s="90" t="s">
        <v>3495</v>
      </c>
      <c r="B130" s="89" t="s">
        <v>5149</v>
      </c>
    </row>
    <row r="131" spans="1:2" ht="15">
      <c r="A131" s="90" t="s">
        <v>3801</v>
      </c>
      <c r="B131" s="89" t="s">
        <v>5149</v>
      </c>
    </row>
    <row r="132" spans="1:2" ht="15">
      <c r="A132" s="90" t="s">
        <v>3639</v>
      </c>
      <c r="B132" s="89" t="s">
        <v>5149</v>
      </c>
    </row>
    <row r="133" spans="1:2" ht="15">
      <c r="A133" s="90" t="s">
        <v>4726</v>
      </c>
      <c r="B133" s="89" t="s">
        <v>5149</v>
      </c>
    </row>
    <row r="134" spans="1:2" ht="15">
      <c r="A134" s="90" t="s">
        <v>4727</v>
      </c>
      <c r="B134" s="89" t="s">
        <v>5149</v>
      </c>
    </row>
    <row r="135" spans="1:2" ht="15">
      <c r="A135" s="90" t="s">
        <v>4728</v>
      </c>
      <c r="B135" s="89" t="s">
        <v>5149</v>
      </c>
    </row>
    <row r="136" spans="1:2" ht="15">
      <c r="A136" s="90" t="s">
        <v>4729</v>
      </c>
      <c r="B136" s="89" t="s">
        <v>5149</v>
      </c>
    </row>
    <row r="137" spans="1:2" ht="15">
      <c r="A137" s="90" t="s">
        <v>4730</v>
      </c>
      <c r="B137" s="89" t="s">
        <v>5149</v>
      </c>
    </row>
    <row r="138" spans="1:2" ht="15">
      <c r="A138" s="90" t="s">
        <v>4731</v>
      </c>
      <c r="B138" s="89" t="s">
        <v>5149</v>
      </c>
    </row>
    <row r="139" spans="1:2" ht="15">
      <c r="A139" s="90" t="s">
        <v>4732</v>
      </c>
      <c r="B139" s="89" t="s">
        <v>5149</v>
      </c>
    </row>
    <row r="140" spans="1:2" ht="15">
      <c r="A140" s="90" t="s">
        <v>4733</v>
      </c>
      <c r="B140" s="89" t="s">
        <v>5149</v>
      </c>
    </row>
    <row r="141" spans="1:2" ht="15">
      <c r="A141" s="90" t="s">
        <v>4734</v>
      </c>
      <c r="B141" s="89" t="s">
        <v>5149</v>
      </c>
    </row>
    <row r="142" spans="1:2" ht="15">
      <c r="A142" s="90" t="s">
        <v>4735</v>
      </c>
      <c r="B142" s="89" t="s">
        <v>5149</v>
      </c>
    </row>
    <row r="143" spans="1:2" ht="15">
      <c r="A143" s="90" t="s">
        <v>4736</v>
      </c>
      <c r="B143" s="89" t="s">
        <v>5149</v>
      </c>
    </row>
    <row r="144" spans="1:2" ht="15">
      <c r="A144" s="90" t="s">
        <v>4737</v>
      </c>
      <c r="B144" s="89" t="s">
        <v>5149</v>
      </c>
    </row>
    <row r="145" spans="1:2" ht="15">
      <c r="A145" s="90" t="s">
        <v>4738</v>
      </c>
      <c r="B145" s="89" t="s">
        <v>5149</v>
      </c>
    </row>
    <row r="146" spans="1:2" ht="15">
      <c r="A146" s="90" t="s">
        <v>4739</v>
      </c>
      <c r="B146" s="89" t="s">
        <v>5149</v>
      </c>
    </row>
    <row r="147" spans="1:2" ht="15">
      <c r="A147" s="90" t="s">
        <v>4740</v>
      </c>
      <c r="B147" s="89" t="s">
        <v>5149</v>
      </c>
    </row>
    <row r="148" spans="1:2" ht="15">
      <c r="A148" s="90" t="s">
        <v>4514</v>
      </c>
      <c r="B148" s="89" t="s">
        <v>5149</v>
      </c>
    </row>
    <row r="149" spans="1:2" ht="15">
      <c r="A149" s="90" t="s">
        <v>4741</v>
      </c>
      <c r="B149" s="89" t="s">
        <v>5149</v>
      </c>
    </row>
    <row r="150" spans="1:2" ht="15">
      <c r="A150" s="90" t="s">
        <v>4742</v>
      </c>
      <c r="B150" s="89" t="s">
        <v>5149</v>
      </c>
    </row>
    <row r="151" spans="1:2" ht="15">
      <c r="A151" s="90" t="s">
        <v>4743</v>
      </c>
      <c r="B151" s="89" t="s">
        <v>5149</v>
      </c>
    </row>
    <row r="152" spans="1:2" ht="15">
      <c r="A152" s="90" t="s">
        <v>4744</v>
      </c>
      <c r="B152" s="89" t="s">
        <v>5149</v>
      </c>
    </row>
    <row r="153" spans="1:2" ht="15">
      <c r="A153" s="90" t="s">
        <v>4745</v>
      </c>
      <c r="B153" s="89" t="s">
        <v>5149</v>
      </c>
    </row>
    <row r="154" spans="1:2" ht="15">
      <c r="A154" s="90" t="s">
        <v>4746</v>
      </c>
      <c r="B154" s="89" t="s">
        <v>5149</v>
      </c>
    </row>
    <row r="155" spans="1:2" ht="15">
      <c r="A155" s="90" t="s">
        <v>4747</v>
      </c>
      <c r="B155" s="89" t="s">
        <v>5149</v>
      </c>
    </row>
    <row r="156" spans="1:2" ht="15">
      <c r="A156" s="90" t="s">
        <v>4748</v>
      </c>
      <c r="B156" s="89" t="s">
        <v>5149</v>
      </c>
    </row>
    <row r="157" spans="1:2" ht="15">
      <c r="A157" s="90" t="s">
        <v>3412</v>
      </c>
      <c r="B157" s="89" t="s">
        <v>5149</v>
      </c>
    </row>
    <row r="158" spans="1:2" ht="15">
      <c r="A158" s="90" t="s">
        <v>3614</v>
      </c>
      <c r="B158" s="89" t="s">
        <v>5149</v>
      </c>
    </row>
    <row r="159" spans="1:2" ht="15">
      <c r="A159" s="90" t="s">
        <v>3197</v>
      </c>
      <c r="B159" s="89" t="s">
        <v>5149</v>
      </c>
    </row>
    <row r="160" spans="1:2" ht="15">
      <c r="A160" s="90" t="s">
        <v>4749</v>
      </c>
      <c r="B160" s="89" t="s">
        <v>5149</v>
      </c>
    </row>
    <row r="161" spans="1:2" ht="15">
      <c r="A161" s="90" t="s">
        <v>4750</v>
      </c>
      <c r="B161" s="89" t="s">
        <v>5149</v>
      </c>
    </row>
    <row r="162" spans="1:2" ht="15">
      <c r="A162" s="90" t="s">
        <v>4751</v>
      </c>
      <c r="B162" s="89" t="s">
        <v>5149</v>
      </c>
    </row>
    <row r="163" spans="1:2" ht="15">
      <c r="A163" s="90" t="s">
        <v>4752</v>
      </c>
      <c r="B163" s="89" t="s">
        <v>5149</v>
      </c>
    </row>
    <row r="164" spans="1:2" ht="15">
      <c r="A164" s="90" t="s">
        <v>4286</v>
      </c>
      <c r="B164" s="89" t="s">
        <v>5149</v>
      </c>
    </row>
    <row r="165" spans="1:2" ht="15">
      <c r="A165" s="90" t="s">
        <v>4753</v>
      </c>
      <c r="B165" s="89" t="s">
        <v>5149</v>
      </c>
    </row>
    <row r="166" spans="1:2" ht="15">
      <c r="A166" s="90" t="s">
        <v>3324</v>
      </c>
      <c r="B166" s="89" t="s">
        <v>5149</v>
      </c>
    </row>
    <row r="167" spans="1:2" ht="15">
      <c r="A167" s="90" t="s">
        <v>3375</v>
      </c>
      <c r="B167" s="89" t="s">
        <v>5149</v>
      </c>
    </row>
    <row r="168" spans="1:2" ht="15">
      <c r="A168" s="90" t="s">
        <v>4754</v>
      </c>
      <c r="B168" s="89" t="s">
        <v>5149</v>
      </c>
    </row>
    <row r="169" spans="1:2" ht="15">
      <c r="A169" s="90" t="s">
        <v>4755</v>
      </c>
      <c r="B169" s="89" t="s">
        <v>5149</v>
      </c>
    </row>
    <row r="170" spans="1:2" ht="15">
      <c r="A170" s="90" t="s">
        <v>3656</v>
      </c>
      <c r="B170" s="89" t="s">
        <v>5149</v>
      </c>
    </row>
    <row r="171" spans="1:2" ht="15">
      <c r="A171" s="90" t="s">
        <v>4756</v>
      </c>
      <c r="B171" s="89" t="s">
        <v>5149</v>
      </c>
    </row>
    <row r="172" spans="1:2" ht="15">
      <c r="A172" s="90" t="s">
        <v>3303</v>
      </c>
      <c r="B172" s="89" t="s">
        <v>5149</v>
      </c>
    </row>
    <row r="173" spans="1:2" ht="15">
      <c r="A173" s="90" t="s">
        <v>4199</v>
      </c>
      <c r="B173" s="89" t="s">
        <v>5149</v>
      </c>
    </row>
    <row r="174" spans="1:2" ht="15">
      <c r="A174" s="90" t="s">
        <v>4757</v>
      </c>
      <c r="B174" s="89" t="s">
        <v>5149</v>
      </c>
    </row>
    <row r="175" spans="1:2" ht="15">
      <c r="A175" s="90" t="s">
        <v>3987</v>
      </c>
      <c r="B175" s="89" t="s">
        <v>5149</v>
      </c>
    </row>
    <row r="176" spans="1:2" ht="15">
      <c r="A176" s="90" t="s">
        <v>4758</v>
      </c>
      <c r="B176" s="89" t="s">
        <v>5149</v>
      </c>
    </row>
    <row r="177" spans="1:2" ht="15">
      <c r="A177" s="90" t="s">
        <v>4759</v>
      </c>
      <c r="B177" s="89" t="s">
        <v>5149</v>
      </c>
    </row>
    <row r="178" spans="1:2" ht="15">
      <c r="A178" s="90" t="s">
        <v>4074</v>
      </c>
      <c r="B178" s="89" t="s">
        <v>5149</v>
      </c>
    </row>
    <row r="179" spans="1:2" ht="15">
      <c r="A179" s="90" t="s">
        <v>4760</v>
      </c>
      <c r="B179" s="89" t="s">
        <v>5149</v>
      </c>
    </row>
    <row r="180" spans="1:2" ht="15">
      <c r="A180" s="90" t="s">
        <v>4761</v>
      </c>
      <c r="B180" s="89" t="s">
        <v>5149</v>
      </c>
    </row>
    <row r="181" spans="1:2" ht="15">
      <c r="A181" s="90" t="s">
        <v>3448</v>
      </c>
      <c r="B181" s="89" t="s">
        <v>5149</v>
      </c>
    </row>
    <row r="182" spans="1:2" ht="15">
      <c r="A182" s="90" t="s">
        <v>4762</v>
      </c>
      <c r="B182" s="89" t="s">
        <v>5149</v>
      </c>
    </row>
    <row r="183" spans="1:2" ht="15">
      <c r="A183" s="90" t="s">
        <v>4763</v>
      </c>
      <c r="B183" s="89" t="s">
        <v>5149</v>
      </c>
    </row>
    <row r="184" spans="1:2" ht="15">
      <c r="A184" s="90" t="s">
        <v>4764</v>
      </c>
      <c r="B184" s="89" t="s">
        <v>5149</v>
      </c>
    </row>
    <row r="185" spans="1:2" ht="15">
      <c r="A185" s="90" t="s">
        <v>3642</v>
      </c>
      <c r="B185" s="89" t="s">
        <v>5149</v>
      </c>
    </row>
    <row r="186" spans="1:2" ht="15">
      <c r="A186" s="90" t="s">
        <v>3585</v>
      </c>
      <c r="B186" s="89" t="s">
        <v>5149</v>
      </c>
    </row>
    <row r="187" spans="1:2" ht="15">
      <c r="A187" s="90" t="s">
        <v>4578</v>
      </c>
      <c r="B187" s="89" t="s">
        <v>5149</v>
      </c>
    </row>
    <row r="188" spans="1:2" ht="15">
      <c r="A188" s="90" t="s">
        <v>3306</v>
      </c>
      <c r="B188" s="89" t="s">
        <v>5149</v>
      </c>
    </row>
    <row r="189" spans="1:2" ht="15">
      <c r="A189" s="90" t="s">
        <v>4765</v>
      </c>
      <c r="B189" s="89" t="s">
        <v>5149</v>
      </c>
    </row>
    <row r="190" spans="1:2" ht="15">
      <c r="A190" s="90" t="s">
        <v>4766</v>
      </c>
      <c r="B190" s="89" t="s">
        <v>5149</v>
      </c>
    </row>
    <row r="191" spans="1:2" ht="15">
      <c r="A191" s="90" t="s">
        <v>3137</v>
      </c>
      <c r="B191" s="89" t="s">
        <v>5149</v>
      </c>
    </row>
    <row r="192" spans="1:2" ht="15">
      <c r="A192" s="90" t="s">
        <v>4767</v>
      </c>
      <c r="B192" s="89" t="s">
        <v>5149</v>
      </c>
    </row>
    <row r="193" spans="1:2" ht="15">
      <c r="A193" s="90" t="s">
        <v>3297</v>
      </c>
      <c r="B193" s="89" t="s">
        <v>5149</v>
      </c>
    </row>
    <row r="194" spans="1:2" ht="15">
      <c r="A194" s="90" t="s">
        <v>4001</v>
      </c>
      <c r="B194" s="89" t="s">
        <v>5149</v>
      </c>
    </row>
    <row r="195" spans="1:2" ht="15">
      <c r="A195" s="90" t="s">
        <v>3239</v>
      </c>
      <c r="B195" s="89" t="s">
        <v>5149</v>
      </c>
    </row>
    <row r="196" spans="1:2" ht="15">
      <c r="A196" s="90" t="s">
        <v>4557</v>
      </c>
      <c r="B196" s="89" t="s">
        <v>5149</v>
      </c>
    </row>
    <row r="197" spans="1:2" ht="15">
      <c r="A197" s="90" t="s">
        <v>4768</v>
      </c>
      <c r="B197" s="89" t="s">
        <v>5149</v>
      </c>
    </row>
    <row r="198" spans="1:2" ht="15">
      <c r="A198" s="90" t="s">
        <v>3953</v>
      </c>
      <c r="B198" s="89" t="s">
        <v>5149</v>
      </c>
    </row>
    <row r="199" spans="1:2" ht="15">
      <c r="A199" s="90" t="s">
        <v>4769</v>
      </c>
      <c r="B199" s="89" t="s">
        <v>5149</v>
      </c>
    </row>
    <row r="200" spans="1:2" ht="15">
      <c r="A200" s="90" t="s">
        <v>3894</v>
      </c>
      <c r="B200" s="89" t="s">
        <v>5149</v>
      </c>
    </row>
    <row r="201" spans="1:2" ht="15">
      <c r="A201" s="90" t="s">
        <v>4452</v>
      </c>
      <c r="B201" s="89" t="s">
        <v>5149</v>
      </c>
    </row>
    <row r="202" spans="1:2" ht="15">
      <c r="A202" s="90" t="s">
        <v>4770</v>
      </c>
      <c r="B202" s="89" t="s">
        <v>5149</v>
      </c>
    </row>
    <row r="203" spans="1:2" ht="15">
      <c r="A203" s="90" t="s">
        <v>3882</v>
      </c>
      <c r="B203" s="89" t="s">
        <v>5149</v>
      </c>
    </row>
    <row r="204" spans="1:2" ht="15">
      <c r="A204" s="90" t="s">
        <v>4471</v>
      </c>
      <c r="B204" s="89" t="s">
        <v>5149</v>
      </c>
    </row>
    <row r="205" spans="1:2" ht="15">
      <c r="A205" s="90" t="s">
        <v>4122</v>
      </c>
      <c r="B205" s="89" t="s">
        <v>5149</v>
      </c>
    </row>
    <row r="206" spans="1:2" ht="15">
      <c r="A206" s="90" t="s">
        <v>3334</v>
      </c>
      <c r="B206" s="89" t="s">
        <v>5149</v>
      </c>
    </row>
    <row r="207" spans="1:2" ht="15">
      <c r="A207" s="90" t="s">
        <v>4771</v>
      </c>
      <c r="B207" s="89" t="s">
        <v>5149</v>
      </c>
    </row>
    <row r="208" spans="1:2" ht="15">
      <c r="A208" s="90" t="s">
        <v>3452</v>
      </c>
      <c r="B208" s="89" t="s">
        <v>5149</v>
      </c>
    </row>
    <row r="209" spans="1:2" ht="15">
      <c r="A209" s="90" t="s">
        <v>4621</v>
      </c>
      <c r="B209" s="89" t="s">
        <v>5149</v>
      </c>
    </row>
    <row r="210" spans="1:2" ht="15">
      <c r="A210" s="90" t="s">
        <v>3264</v>
      </c>
      <c r="B210" s="89" t="s">
        <v>5149</v>
      </c>
    </row>
    <row r="211" spans="1:2" ht="15">
      <c r="A211" s="90" t="s">
        <v>3978</v>
      </c>
      <c r="B211" s="89" t="s">
        <v>5149</v>
      </c>
    </row>
    <row r="212" spans="1:2" ht="15">
      <c r="A212" s="90" t="s">
        <v>4772</v>
      </c>
      <c r="B212" s="89" t="s">
        <v>5149</v>
      </c>
    </row>
    <row r="213" spans="1:2" ht="15">
      <c r="A213" s="90" t="s">
        <v>4773</v>
      </c>
      <c r="B213" s="89" t="s">
        <v>5149</v>
      </c>
    </row>
    <row r="214" spans="1:2" ht="15">
      <c r="A214" s="90" t="s">
        <v>4774</v>
      </c>
      <c r="B214" s="89" t="s">
        <v>5149</v>
      </c>
    </row>
    <row r="215" spans="1:2" ht="15">
      <c r="A215" s="90" t="s">
        <v>4775</v>
      </c>
      <c r="B215" s="89" t="s">
        <v>5149</v>
      </c>
    </row>
    <row r="216" spans="1:2" ht="15">
      <c r="A216" s="90" t="s">
        <v>3683</v>
      </c>
      <c r="B216" s="89" t="s">
        <v>5149</v>
      </c>
    </row>
    <row r="217" spans="1:2" ht="15">
      <c r="A217" s="90" t="s">
        <v>4776</v>
      </c>
      <c r="B217" s="89" t="s">
        <v>5149</v>
      </c>
    </row>
    <row r="218" spans="1:2" ht="15">
      <c r="A218" s="90" t="s">
        <v>4777</v>
      </c>
      <c r="B218" s="89" t="s">
        <v>5149</v>
      </c>
    </row>
    <row r="219" spans="1:2" ht="15">
      <c r="A219" s="90" t="s">
        <v>4778</v>
      </c>
      <c r="B219" s="89" t="s">
        <v>5149</v>
      </c>
    </row>
    <row r="220" spans="1:2" ht="15">
      <c r="A220" s="90" t="s">
        <v>3145</v>
      </c>
      <c r="B220" s="89" t="s">
        <v>5149</v>
      </c>
    </row>
    <row r="221" spans="1:2" ht="15">
      <c r="A221" s="90" t="s">
        <v>3302</v>
      </c>
      <c r="B221" s="89" t="s">
        <v>5149</v>
      </c>
    </row>
    <row r="222" spans="1:2" ht="15">
      <c r="A222" s="90" t="s">
        <v>4779</v>
      </c>
      <c r="B222" s="89" t="s">
        <v>5149</v>
      </c>
    </row>
    <row r="223" spans="1:2" ht="15">
      <c r="A223" s="90" t="s">
        <v>3910</v>
      </c>
      <c r="B223" s="89" t="s">
        <v>5149</v>
      </c>
    </row>
    <row r="224" spans="1:2" ht="15">
      <c r="A224" s="90" t="s">
        <v>4780</v>
      </c>
      <c r="B224" s="89" t="s">
        <v>5149</v>
      </c>
    </row>
    <row r="225" spans="1:2" ht="15">
      <c r="A225" s="90" t="s">
        <v>3308</v>
      </c>
      <c r="B225" s="89" t="s">
        <v>5149</v>
      </c>
    </row>
    <row r="226" spans="1:2" ht="15">
      <c r="A226" s="90" t="s">
        <v>3295</v>
      </c>
      <c r="B226" s="89" t="s">
        <v>5149</v>
      </c>
    </row>
    <row r="227" spans="1:2" ht="15">
      <c r="A227" s="90" t="s">
        <v>3320</v>
      </c>
      <c r="B227" s="89" t="s">
        <v>5149</v>
      </c>
    </row>
    <row r="228" spans="1:2" ht="15">
      <c r="A228" s="90" t="s">
        <v>3640</v>
      </c>
      <c r="B228" s="89" t="s">
        <v>5149</v>
      </c>
    </row>
    <row r="229" spans="1:2" ht="15">
      <c r="A229" s="90" t="s">
        <v>4781</v>
      </c>
      <c r="B229" s="89" t="s">
        <v>5149</v>
      </c>
    </row>
    <row r="230" spans="1:2" ht="15">
      <c r="A230" s="90" t="s">
        <v>3692</v>
      </c>
      <c r="B230" s="89" t="s">
        <v>5149</v>
      </c>
    </row>
    <row r="231" spans="1:2" ht="15">
      <c r="A231" s="90" t="s">
        <v>4782</v>
      </c>
      <c r="B231" s="89" t="s">
        <v>5149</v>
      </c>
    </row>
    <row r="232" spans="1:2" ht="15">
      <c r="A232" s="90" t="s">
        <v>4783</v>
      </c>
      <c r="B232" s="89" t="s">
        <v>5149</v>
      </c>
    </row>
    <row r="233" spans="1:2" ht="15">
      <c r="A233" s="90" t="s">
        <v>4784</v>
      </c>
      <c r="B233" s="89" t="s">
        <v>5149</v>
      </c>
    </row>
    <row r="234" spans="1:2" ht="15">
      <c r="A234" s="90" t="s">
        <v>4785</v>
      </c>
      <c r="B234" s="89" t="s">
        <v>5149</v>
      </c>
    </row>
    <row r="235" spans="1:2" ht="15">
      <c r="A235" s="90" t="s">
        <v>4786</v>
      </c>
      <c r="B235" s="89" t="s">
        <v>5149</v>
      </c>
    </row>
    <row r="236" spans="1:2" ht="15">
      <c r="A236" s="90" t="s">
        <v>4787</v>
      </c>
      <c r="B236" s="89" t="s">
        <v>5149</v>
      </c>
    </row>
    <row r="237" spans="1:2" ht="15">
      <c r="A237" s="90" t="s">
        <v>4788</v>
      </c>
      <c r="B237" s="89" t="s">
        <v>5149</v>
      </c>
    </row>
    <row r="238" spans="1:2" ht="15">
      <c r="A238" s="90" t="s">
        <v>4789</v>
      </c>
      <c r="B238" s="89" t="s">
        <v>5149</v>
      </c>
    </row>
    <row r="239" spans="1:2" ht="15">
      <c r="A239" s="90" t="s">
        <v>4790</v>
      </c>
      <c r="B239" s="89" t="s">
        <v>5149</v>
      </c>
    </row>
    <row r="240" spans="1:2" ht="15">
      <c r="A240" s="90" t="s">
        <v>4791</v>
      </c>
      <c r="B240" s="89" t="s">
        <v>5149</v>
      </c>
    </row>
    <row r="241" spans="1:2" ht="15">
      <c r="A241" s="90" t="s">
        <v>4792</v>
      </c>
      <c r="B241" s="89" t="s">
        <v>5149</v>
      </c>
    </row>
    <row r="242" spans="1:2" ht="15">
      <c r="A242" s="90" t="s">
        <v>4793</v>
      </c>
      <c r="B242" s="89" t="s">
        <v>5149</v>
      </c>
    </row>
    <row r="243" spans="1:2" ht="15">
      <c r="A243" s="90" t="s">
        <v>4794</v>
      </c>
      <c r="B243" s="89" t="s">
        <v>5149</v>
      </c>
    </row>
    <row r="244" spans="1:2" ht="15">
      <c r="A244" s="90" t="s">
        <v>4795</v>
      </c>
      <c r="B244" s="89" t="s">
        <v>5149</v>
      </c>
    </row>
    <row r="245" spans="1:2" ht="15">
      <c r="A245" s="90" t="s">
        <v>4796</v>
      </c>
      <c r="B245" s="89" t="s">
        <v>5149</v>
      </c>
    </row>
    <row r="246" spans="1:2" ht="15">
      <c r="A246" s="90" t="s">
        <v>3917</v>
      </c>
      <c r="B246" s="89" t="s">
        <v>5149</v>
      </c>
    </row>
    <row r="247" spans="1:2" ht="15">
      <c r="A247" s="90" t="s">
        <v>4797</v>
      </c>
      <c r="B247" s="89" t="s">
        <v>5149</v>
      </c>
    </row>
    <row r="248" spans="1:2" ht="15">
      <c r="A248" s="90" t="s">
        <v>3584</v>
      </c>
      <c r="B248" s="89" t="s">
        <v>5149</v>
      </c>
    </row>
    <row r="249" spans="1:2" ht="15">
      <c r="A249" s="90" t="s">
        <v>4798</v>
      </c>
      <c r="B249" s="89" t="s">
        <v>5149</v>
      </c>
    </row>
    <row r="250" spans="1:2" ht="15">
      <c r="A250" s="90" t="s">
        <v>4799</v>
      </c>
      <c r="B250" s="89" t="s">
        <v>5149</v>
      </c>
    </row>
    <row r="251" spans="1:2" ht="15">
      <c r="A251" s="90" t="s">
        <v>4800</v>
      </c>
      <c r="B251" s="89" t="s">
        <v>5149</v>
      </c>
    </row>
    <row r="252" spans="1:2" ht="15">
      <c r="A252" s="90" t="s">
        <v>4801</v>
      </c>
      <c r="B252" s="89" t="s">
        <v>5149</v>
      </c>
    </row>
    <row r="253" spans="1:2" ht="15">
      <c r="A253" s="90" t="s">
        <v>4802</v>
      </c>
      <c r="B253" s="89" t="s">
        <v>5149</v>
      </c>
    </row>
    <row r="254" spans="1:2" ht="15">
      <c r="A254" s="90" t="s">
        <v>4803</v>
      </c>
      <c r="B254" s="89" t="s">
        <v>5149</v>
      </c>
    </row>
    <row r="255" spans="1:2" ht="15">
      <c r="A255" s="90" t="s">
        <v>4804</v>
      </c>
      <c r="B255" s="89" t="s">
        <v>5149</v>
      </c>
    </row>
    <row r="256" spans="1:2" ht="15">
      <c r="A256" s="90" t="s">
        <v>4805</v>
      </c>
      <c r="B256" s="89" t="s">
        <v>5149</v>
      </c>
    </row>
    <row r="257" spans="1:2" ht="15">
      <c r="A257" s="90" t="s">
        <v>4806</v>
      </c>
      <c r="B257" s="89" t="s">
        <v>5149</v>
      </c>
    </row>
    <row r="258" spans="1:2" ht="15">
      <c r="A258" s="90" t="s">
        <v>4807</v>
      </c>
      <c r="B258" s="89" t="s">
        <v>5149</v>
      </c>
    </row>
    <row r="259" spans="1:2" ht="15">
      <c r="A259" s="90" t="s">
        <v>4808</v>
      </c>
      <c r="B259" s="89" t="s">
        <v>5149</v>
      </c>
    </row>
    <row r="260" spans="1:2" ht="15">
      <c r="A260" s="90" t="s">
        <v>4809</v>
      </c>
      <c r="B260" s="89" t="s">
        <v>5149</v>
      </c>
    </row>
    <row r="261" spans="1:2" ht="15">
      <c r="A261" s="90" t="s">
        <v>3920</v>
      </c>
      <c r="B261" s="89" t="s">
        <v>5149</v>
      </c>
    </row>
    <row r="262" spans="1:2" ht="15">
      <c r="A262" s="90" t="s">
        <v>4810</v>
      </c>
      <c r="B262" s="89" t="s">
        <v>5149</v>
      </c>
    </row>
    <row r="263" spans="1:2" ht="15">
      <c r="A263" s="90" t="s">
        <v>4811</v>
      </c>
      <c r="B263" s="89" t="s">
        <v>5149</v>
      </c>
    </row>
    <row r="264" spans="1:2" ht="15">
      <c r="A264" s="90" t="s">
        <v>3538</v>
      </c>
      <c r="B264" s="89" t="s">
        <v>5149</v>
      </c>
    </row>
    <row r="265" spans="1:2" ht="15">
      <c r="A265" s="90" t="s">
        <v>3228</v>
      </c>
      <c r="B265" s="89" t="s">
        <v>5149</v>
      </c>
    </row>
    <row r="266" spans="1:2" ht="15">
      <c r="A266" s="90" t="s">
        <v>4812</v>
      </c>
      <c r="B266" s="89" t="s">
        <v>5149</v>
      </c>
    </row>
    <row r="267" spans="1:2" ht="15">
      <c r="A267" s="90" t="s">
        <v>4813</v>
      </c>
      <c r="B267" s="89" t="s">
        <v>5149</v>
      </c>
    </row>
    <row r="268" spans="1:2" ht="15">
      <c r="A268" s="90" t="s">
        <v>4814</v>
      </c>
      <c r="B268" s="89" t="s">
        <v>5149</v>
      </c>
    </row>
    <row r="269" spans="1:2" ht="15">
      <c r="A269" s="90" t="s">
        <v>4815</v>
      </c>
      <c r="B269" s="89" t="s">
        <v>5149</v>
      </c>
    </row>
    <row r="270" spans="1:2" ht="15">
      <c r="A270" s="90" t="s">
        <v>4816</v>
      </c>
      <c r="B270" s="89" t="s">
        <v>5149</v>
      </c>
    </row>
    <row r="271" spans="1:2" ht="15">
      <c r="A271" s="90" t="s">
        <v>4817</v>
      </c>
      <c r="B271" s="89" t="s">
        <v>5149</v>
      </c>
    </row>
    <row r="272" spans="1:2" ht="15">
      <c r="A272" s="90" t="s">
        <v>3873</v>
      </c>
      <c r="B272" s="89" t="s">
        <v>5149</v>
      </c>
    </row>
    <row r="273" spans="1:2" ht="15">
      <c r="A273" s="90" t="s">
        <v>3500</v>
      </c>
      <c r="B273" s="89" t="s">
        <v>5149</v>
      </c>
    </row>
    <row r="274" spans="1:2" ht="15">
      <c r="A274" s="90" t="s">
        <v>3951</v>
      </c>
      <c r="B274" s="89" t="s">
        <v>5149</v>
      </c>
    </row>
    <row r="275" spans="1:2" ht="15">
      <c r="A275" s="90" t="s">
        <v>4170</v>
      </c>
      <c r="B275" s="89" t="s">
        <v>5149</v>
      </c>
    </row>
    <row r="276" spans="1:2" ht="15">
      <c r="A276" s="90" t="s">
        <v>4818</v>
      </c>
      <c r="B276" s="89" t="s">
        <v>5149</v>
      </c>
    </row>
    <row r="277" spans="1:2" ht="15">
      <c r="A277" s="90" t="s">
        <v>4819</v>
      </c>
      <c r="B277" s="89" t="s">
        <v>5149</v>
      </c>
    </row>
    <row r="278" spans="1:2" ht="15">
      <c r="A278" s="90" t="s">
        <v>4820</v>
      </c>
      <c r="B278" s="89" t="s">
        <v>5149</v>
      </c>
    </row>
    <row r="279" spans="1:2" ht="15">
      <c r="A279" s="90" t="s">
        <v>4821</v>
      </c>
      <c r="B279" s="89" t="s">
        <v>5149</v>
      </c>
    </row>
    <row r="280" spans="1:2" ht="15">
      <c r="A280" s="90" t="s">
        <v>4822</v>
      </c>
      <c r="B280" s="89" t="s">
        <v>5149</v>
      </c>
    </row>
    <row r="281" spans="1:2" ht="15">
      <c r="A281" s="90" t="s">
        <v>4823</v>
      </c>
      <c r="B281" s="89" t="s">
        <v>5149</v>
      </c>
    </row>
    <row r="282" spans="1:2" ht="15">
      <c r="A282" s="90" t="s">
        <v>4824</v>
      </c>
      <c r="B282" s="89" t="s">
        <v>5149</v>
      </c>
    </row>
    <row r="283" spans="1:2" ht="15">
      <c r="A283" s="90" t="s">
        <v>4825</v>
      </c>
      <c r="B283" s="89" t="s">
        <v>5149</v>
      </c>
    </row>
    <row r="284" spans="1:2" ht="15">
      <c r="A284" s="90" t="s">
        <v>4826</v>
      </c>
      <c r="B284" s="89" t="s">
        <v>5149</v>
      </c>
    </row>
    <row r="285" spans="1:2" ht="15">
      <c r="A285" s="90" t="s">
        <v>4827</v>
      </c>
      <c r="B285" s="89" t="s">
        <v>5149</v>
      </c>
    </row>
    <row r="286" spans="1:2" ht="15">
      <c r="A286" s="90" t="s">
        <v>4828</v>
      </c>
      <c r="B286" s="89" t="s">
        <v>5149</v>
      </c>
    </row>
    <row r="287" spans="1:2" ht="15">
      <c r="A287" s="90" t="s">
        <v>4829</v>
      </c>
      <c r="B287" s="89" t="s">
        <v>5149</v>
      </c>
    </row>
    <row r="288" spans="1:2" ht="15">
      <c r="A288" s="90" t="s">
        <v>4830</v>
      </c>
      <c r="B288" s="89" t="s">
        <v>5149</v>
      </c>
    </row>
    <row r="289" spans="1:2" ht="15">
      <c r="A289" s="90" t="s">
        <v>4831</v>
      </c>
      <c r="B289" s="89" t="s">
        <v>5149</v>
      </c>
    </row>
    <row r="290" spans="1:2" ht="15">
      <c r="A290" s="90" t="s">
        <v>4832</v>
      </c>
      <c r="B290" s="89" t="s">
        <v>5149</v>
      </c>
    </row>
    <row r="291" spans="1:2" ht="15">
      <c r="A291" s="90" t="s">
        <v>4833</v>
      </c>
      <c r="B291" s="89" t="s">
        <v>5149</v>
      </c>
    </row>
    <row r="292" spans="1:2" ht="15">
      <c r="A292" s="90" t="s">
        <v>4834</v>
      </c>
      <c r="B292" s="89" t="s">
        <v>5149</v>
      </c>
    </row>
    <row r="293" spans="1:2" ht="15">
      <c r="A293" s="90" t="s">
        <v>4835</v>
      </c>
      <c r="B293" s="89" t="s">
        <v>5149</v>
      </c>
    </row>
    <row r="294" spans="1:2" ht="15">
      <c r="A294" s="90" t="s">
        <v>4836</v>
      </c>
      <c r="B294" s="89" t="s">
        <v>5149</v>
      </c>
    </row>
    <row r="295" spans="1:2" ht="15">
      <c r="A295" s="90" t="s">
        <v>4837</v>
      </c>
      <c r="B295" s="89" t="s">
        <v>5149</v>
      </c>
    </row>
    <row r="296" spans="1:2" ht="15">
      <c r="A296" s="90" t="s">
        <v>4838</v>
      </c>
      <c r="B296" s="89" t="s">
        <v>5149</v>
      </c>
    </row>
    <row r="297" spans="1:2" ht="15">
      <c r="A297" s="90" t="s">
        <v>4839</v>
      </c>
      <c r="B297" s="89" t="s">
        <v>5149</v>
      </c>
    </row>
    <row r="298" spans="1:2" ht="15">
      <c r="A298" s="90" t="s">
        <v>4840</v>
      </c>
      <c r="B298" s="89" t="s">
        <v>5149</v>
      </c>
    </row>
    <row r="299" spans="1:2" ht="15">
      <c r="A299" s="90" t="s">
        <v>4841</v>
      </c>
      <c r="B299" s="89" t="s">
        <v>5149</v>
      </c>
    </row>
    <row r="300" spans="1:2" ht="15">
      <c r="A300" s="90" t="s">
        <v>4842</v>
      </c>
      <c r="B300" s="89" t="s">
        <v>5149</v>
      </c>
    </row>
    <row r="301" spans="1:2" ht="15">
      <c r="A301" s="90" t="s">
        <v>4843</v>
      </c>
      <c r="B301" s="89" t="s">
        <v>5149</v>
      </c>
    </row>
    <row r="302" spans="1:2" ht="15">
      <c r="A302" s="90" t="s">
        <v>4844</v>
      </c>
      <c r="B302" s="89" t="s">
        <v>5149</v>
      </c>
    </row>
    <row r="303" spans="1:2" ht="15">
      <c r="A303" s="90" t="s">
        <v>4845</v>
      </c>
      <c r="B303" s="89" t="s">
        <v>5149</v>
      </c>
    </row>
    <row r="304" spans="1:2" ht="15">
      <c r="A304" s="90" t="s">
        <v>4846</v>
      </c>
      <c r="B304" s="89" t="s">
        <v>5149</v>
      </c>
    </row>
    <row r="305" spans="1:2" ht="15">
      <c r="A305" s="90" t="s">
        <v>4847</v>
      </c>
      <c r="B305" s="89" t="s">
        <v>5149</v>
      </c>
    </row>
    <row r="306" spans="1:2" ht="15">
      <c r="A306" s="90" t="s">
        <v>4848</v>
      </c>
      <c r="B306" s="89" t="s">
        <v>5149</v>
      </c>
    </row>
    <row r="307" spans="1:2" ht="15">
      <c r="A307" s="90" t="s">
        <v>4849</v>
      </c>
      <c r="B307" s="89" t="s">
        <v>5149</v>
      </c>
    </row>
    <row r="308" spans="1:2" ht="15">
      <c r="A308" s="90" t="s">
        <v>4850</v>
      </c>
      <c r="B308" s="89" t="s">
        <v>5149</v>
      </c>
    </row>
    <row r="309" spans="1:2" ht="15">
      <c r="A309" s="90" t="s">
        <v>4625</v>
      </c>
      <c r="B309" s="89" t="s">
        <v>5149</v>
      </c>
    </row>
    <row r="310" spans="1:2" ht="15">
      <c r="A310" s="90" t="s">
        <v>4851</v>
      </c>
      <c r="B310" s="89" t="s">
        <v>5149</v>
      </c>
    </row>
    <row r="311" spans="1:2" ht="15">
      <c r="A311" s="90" t="s">
        <v>4852</v>
      </c>
      <c r="B311" s="89" t="s">
        <v>5149</v>
      </c>
    </row>
    <row r="312" spans="1:2" ht="15">
      <c r="A312" s="90" t="s">
        <v>4853</v>
      </c>
      <c r="B312" s="89" t="s">
        <v>5149</v>
      </c>
    </row>
    <row r="313" spans="1:2" ht="15">
      <c r="A313" s="90" t="s">
        <v>4854</v>
      </c>
      <c r="B313" s="89" t="s">
        <v>5149</v>
      </c>
    </row>
    <row r="314" spans="1:2" ht="15">
      <c r="A314" s="90" t="s">
        <v>4855</v>
      </c>
      <c r="B314" s="89" t="s">
        <v>5149</v>
      </c>
    </row>
    <row r="315" spans="1:2" ht="15">
      <c r="A315" s="90" t="s">
        <v>4856</v>
      </c>
      <c r="B315" s="89" t="s">
        <v>5149</v>
      </c>
    </row>
    <row r="316" spans="1:2" ht="15">
      <c r="A316" s="90" t="s">
        <v>4857</v>
      </c>
      <c r="B316" s="89" t="s">
        <v>5149</v>
      </c>
    </row>
    <row r="317" spans="1:2" ht="15">
      <c r="A317" s="90" t="s">
        <v>4858</v>
      </c>
      <c r="B317" s="89" t="s">
        <v>5149</v>
      </c>
    </row>
    <row r="318" spans="1:2" ht="15">
      <c r="A318" s="90" t="s">
        <v>3298</v>
      </c>
      <c r="B318" s="89" t="s">
        <v>5149</v>
      </c>
    </row>
    <row r="319" spans="1:2" ht="15">
      <c r="A319" s="90" t="s">
        <v>4042</v>
      </c>
      <c r="B319" s="89" t="s">
        <v>5149</v>
      </c>
    </row>
    <row r="320" spans="1:2" ht="15">
      <c r="A320" s="90" t="s">
        <v>4859</v>
      </c>
      <c r="B320" s="89" t="s">
        <v>5149</v>
      </c>
    </row>
    <row r="321" spans="1:2" ht="15">
      <c r="A321" s="90" t="s">
        <v>4860</v>
      </c>
      <c r="B321" s="89" t="s">
        <v>5149</v>
      </c>
    </row>
    <row r="322" spans="1:2" ht="15">
      <c r="A322" s="90" t="s">
        <v>4861</v>
      </c>
      <c r="B322" s="89" t="s">
        <v>5149</v>
      </c>
    </row>
    <row r="323" spans="1:2" ht="15">
      <c r="A323" s="90" t="s">
        <v>4862</v>
      </c>
      <c r="B323" s="89" t="s">
        <v>5149</v>
      </c>
    </row>
    <row r="324" spans="1:2" ht="15">
      <c r="A324" s="90" t="s">
        <v>3196</v>
      </c>
      <c r="B324" s="89" t="s">
        <v>5149</v>
      </c>
    </row>
    <row r="325" spans="1:2" ht="15">
      <c r="A325" s="90" t="s">
        <v>4863</v>
      </c>
      <c r="B325" s="89" t="s">
        <v>5149</v>
      </c>
    </row>
    <row r="326" spans="1:2" ht="15">
      <c r="A326" s="90" t="s">
        <v>4864</v>
      </c>
      <c r="B326" s="89" t="s">
        <v>5149</v>
      </c>
    </row>
    <row r="327" spans="1:2" ht="15">
      <c r="A327" s="90" t="s">
        <v>3211</v>
      </c>
      <c r="B327" s="89" t="s">
        <v>5149</v>
      </c>
    </row>
    <row r="328" spans="1:2" ht="15">
      <c r="A328" s="90" t="s">
        <v>3328</v>
      </c>
      <c r="B328" s="89" t="s">
        <v>5149</v>
      </c>
    </row>
    <row r="329" spans="1:2" ht="15">
      <c r="A329" s="90" t="s">
        <v>4611</v>
      </c>
      <c r="B329" s="89" t="s">
        <v>5149</v>
      </c>
    </row>
    <row r="330" spans="1:2" ht="15">
      <c r="A330" s="90" t="s">
        <v>3222</v>
      </c>
      <c r="B330" s="89" t="s">
        <v>5149</v>
      </c>
    </row>
    <row r="331" spans="1:2" ht="15">
      <c r="A331" s="90" t="s">
        <v>4865</v>
      </c>
      <c r="B331" s="89" t="s">
        <v>5149</v>
      </c>
    </row>
    <row r="332" spans="1:2" ht="15">
      <c r="A332" s="90" t="s">
        <v>4367</v>
      </c>
      <c r="B332" s="89" t="s">
        <v>5149</v>
      </c>
    </row>
    <row r="333" spans="1:2" ht="15">
      <c r="A333" s="90" t="s">
        <v>4866</v>
      </c>
      <c r="B333" s="89" t="s">
        <v>5149</v>
      </c>
    </row>
    <row r="334" spans="1:2" ht="15">
      <c r="A334" s="90" t="s">
        <v>4867</v>
      </c>
      <c r="B334" s="89" t="s">
        <v>5149</v>
      </c>
    </row>
    <row r="335" spans="1:2" ht="15">
      <c r="A335" s="90" t="s">
        <v>4868</v>
      </c>
      <c r="B335" s="89" t="s">
        <v>5149</v>
      </c>
    </row>
    <row r="336" spans="1:2" ht="15">
      <c r="A336" s="90" t="s">
        <v>4869</v>
      </c>
      <c r="B336" s="89" t="s">
        <v>5149</v>
      </c>
    </row>
    <row r="337" spans="1:2" ht="15">
      <c r="A337" s="90" t="s">
        <v>3651</v>
      </c>
      <c r="B337" s="89" t="s">
        <v>5149</v>
      </c>
    </row>
    <row r="338" spans="1:2" ht="15">
      <c r="A338" s="90" t="s">
        <v>4870</v>
      </c>
      <c r="B338" s="89" t="s">
        <v>5149</v>
      </c>
    </row>
    <row r="339" spans="1:2" ht="15">
      <c r="A339" s="90" t="s">
        <v>3263</v>
      </c>
      <c r="B339" s="89" t="s">
        <v>5149</v>
      </c>
    </row>
    <row r="340" spans="1:2" ht="15">
      <c r="A340" s="90" t="s">
        <v>3346</v>
      </c>
      <c r="B340" s="89" t="s">
        <v>5149</v>
      </c>
    </row>
    <row r="341" spans="1:2" ht="15">
      <c r="A341" s="90" t="s">
        <v>4871</v>
      </c>
      <c r="B341" s="89" t="s">
        <v>5149</v>
      </c>
    </row>
    <row r="342" spans="1:2" ht="15">
      <c r="A342" s="90" t="s">
        <v>4872</v>
      </c>
      <c r="B342" s="89" t="s">
        <v>5149</v>
      </c>
    </row>
    <row r="343" spans="1:2" ht="15">
      <c r="A343" s="90" t="s">
        <v>4873</v>
      </c>
      <c r="B343" s="89" t="s">
        <v>5149</v>
      </c>
    </row>
    <row r="344" spans="1:2" ht="15">
      <c r="A344" s="90" t="s">
        <v>4874</v>
      </c>
      <c r="B344" s="89" t="s">
        <v>5149</v>
      </c>
    </row>
    <row r="345" spans="1:2" ht="15">
      <c r="A345" s="90" t="s">
        <v>4875</v>
      </c>
      <c r="B345" s="89" t="s">
        <v>5149</v>
      </c>
    </row>
    <row r="346" spans="1:2" ht="15">
      <c r="A346" s="90" t="s">
        <v>4876</v>
      </c>
      <c r="B346" s="89" t="s">
        <v>5149</v>
      </c>
    </row>
    <row r="347" spans="1:2" ht="15">
      <c r="A347" s="90" t="s">
        <v>4877</v>
      </c>
      <c r="B347" s="89" t="s">
        <v>5149</v>
      </c>
    </row>
    <row r="348" spans="1:2" ht="15">
      <c r="A348" s="90" t="s">
        <v>4878</v>
      </c>
      <c r="B348" s="89" t="s">
        <v>5149</v>
      </c>
    </row>
    <row r="349" spans="1:2" ht="15">
      <c r="A349" s="90" t="s">
        <v>4879</v>
      </c>
      <c r="B349" s="89" t="s">
        <v>5149</v>
      </c>
    </row>
    <row r="350" spans="1:2" ht="15">
      <c r="A350" s="90" t="s">
        <v>4880</v>
      </c>
      <c r="B350" s="89" t="s">
        <v>5149</v>
      </c>
    </row>
    <row r="351" spans="1:2" ht="15">
      <c r="A351" s="90" t="s">
        <v>4881</v>
      </c>
      <c r="B351" s="89" t="s">
        <v>5149</v>
      </c>
    </row>
    <row r="352" spans="1:2" ht="15">
      <c r="A352" s="90" t="s">
        <v>3767</v>
      </c>
      <c r="B352" s="89" t="s">
        <v>5149</v>
      </c>
    </row>
    <row r="353" spans="1:2" ht="15">
      <c r="A353" s="90" t="s">
        <v>4882</v>
      </c>
      <c r="B353" s="89" t="s">
        <v>5149</v>
      </c>
    </row>
    <row r="354" spans="1:2" ht="15">
      <c r="A354" s="90" t="s">
        <v>3690</v>
      </c>
      <c r="B354" s="89" t="s">
        <v>5149</v>
      </c>
    </row>
    <row r="355" spans="1:2" ht="15">
      <c r="A355" s="90" t="s">
        <v>4883</v>
      </c>
      <c r="B355" s="89" t="s">
        <v>5149</v>
      </c>
    </row>
    <row r="356" spans="1:2" ht="15">
      <c r="A356" s="90" t="s">
        <v>3443</v>
      </c>
      <c r="B356" s="89" t="s">
        <v>5149</v>
      </c>
    </row>
    <row r="357" spans="1:2" ht="15">
      <c r="A357" s="90" t="s">
        <v>4884</v>
      </c>
      <c r="B357" s="89" t="s">
        <v>5149</v>
      </c>
    </row>
    <row r="358" spans="1:2" ht="15">
      <c r="A358" s="90" t="s">
        <v>3340</v>
      </c>
      <c r="B358" s="89" t="s">
        <v>5149</v>
      </c>
    </row>
    <row r="359" spans="1:2" ht="15">
      <c r="A359" s="90" t="s">
        <v>3158</v>
      </c>
      <c r="B359" s="89" t="s">
        <v>5149</v>
      </c>
    </row>
    <row r="360" spans="1:2" ht="15">
      <c r="A360" s="90" t="s">
        <v>4885</v>
      </c>
      <c r="B360" s="89" t="s">
        <v>5149</v>
      </c>
    </row>
    <row r="361" spans="1:2" ht="15">
      <c r="A361" s="90" t="s">
        <v>4886</v>
      </c>
      <c r="B361" s="89" t="s">
        <v>5149</v>
      </c>
    </row>
    <row r="362" spans="1:2" ht="15">
      <c r="A362" s="90" t="s">
        <v>4500</v>
      </c>
      <c r="B362" s="89" t="s">
        <v>5149</v>
      </c>
    </row>
    <row r="363" spans="1:2" ht="15">
      <c r="A363" s="90" t="s">
        <v>4887</v>
      </c>
      <c r="B363" s="89" t="s">
        <v>5149</v>
      </c>
    </row>
    <row r="364" spans="1:2" ht="15">
      <c r="A364" s="90" t="s">
        <v>4888</v>
      </c>
      <c r="B364" s="89" t="s">
        <v>5149</v>
      </c>
    </row>
    <row r="365" spans="1:2" ht="15">
      <c r="A365" s="90" t="s">
        <v>3179</v>
      </c>
      <c r="B365" s="89" t="s">
        <v>5149</v>
      </c>
    </row>
    <row r="366" spans="1:2" ht="15">
      <c r="A366" s="90" t="s">
        <v>4142</v>
      </c>
      <c r="B366" s="89" t="s">
        <v>5149</v>
      </c>
    </row>
    <row r="367" spans="1:2" ht="15">
      <c r="A367" s="90" t="s">
        <v>3240</v>
      </c>
      <c r="B367" s="89" t="s">
        <v>5149</v>
      </c>
    </row>
    <row r="368" spans="1:2" ht="15">
      <c r="A368" s="90" t="s">
        <v>4889</v>
      </c>
      <c r="B368" s="89" t="s">
        <v>5149</v>
      </c>
    </row>
    <row r="369" spans="1:2" ht="15">
      <c r="A369" s="90" t="s">
        <v>4353</v>
      </c>
      <c r="B369" s="89" t="s">
        <v>5149</v>
      </c>
    </row>
    <row r="370" spans="1:2" ht="15">
      <c r="A370" s="90" t="s">
        <v>4890</v>
      </c>
      <c r="B370" s="89" t="s">
        <v>5149</v>
      </c>
    </row>
    <row r="371" spans="1:2" ht="15">
      <c r="A371" s="90" t="s">
        <v>4891</v>
      </c>
      <c r="B371" s="89" t="s">
        <v>5149</v>
      </c>
    </row>
    <row r="372" spans="1:2" ht="15">
      <c r="A372" s="90" t="s">
        <v>4892</v>
      </c>
      <c r="B372" s="89" t="s">
        <v>5149</v>
      </c>
    </row>
    <row r="373" spans="1:2" ht="15">
      <c r="A373" s="90" t="s">
        <v>4893</v>
      </c>
      <c r="B373" s="89" t="s">
        <v>5149</v>
      </c>
    </row>
    <row r="374" spans="1:2" ht="15">
      <c r="A374" s="90" t="s">
        <v>4894</v>
      </c>
      <c r="B374" s="89" t="s">
        <v>5149</v>
      </c>
    </row>
    <row r="375" spans="1:2" ht="15">
      <c r="A375" s="90" t="s">
        <v>4895</v>
      </c>
      <c r="B375" s="89" t="s">
        <v>5149</v>
      </c>
    </row>
    <row r="376" spans="1:2" ht="15">
      <c r="A376" s="90" t="s">
        <v>4896</v>
      </c>
      <c r="B376" s="89" t="s">
        <v>5149</v>
      </c>
    </row>
    <row r="377" spans="1:2" ht="15">
      <c r="A377" s="90" t="s">
        <v>4897</v>
      </c>
      <c r="B377" s="89" t="s">
        <v>5149</v>
      </c>
    </row>
    <row r="378" spans="1:2" ht="15">
      <c r="A378" s="90" t="s">
        <v>4898</v>
      </c>
      <c r="B378" s="89" t="s">
        <v>5149</v>
      </c>
    </row>
    <row r="379" spans="1:2" ht="15">
      <c r="A379" s="90" t="s">
        <v>4899</v>
      </c>
      <c r="B379" s="89" t="s">
        <v>5149</v>
      </c>
    </row>
    <row r="380" spans="1:2" ht="15">
      <c r="A380" s="90" t="s">
        <v>4900</v>
      </c>
      <c r="B380" s="89" t="s">
        <v>5149</v>
      </c>
    </row>
    <row r="381" spans="1:2" ht="15">
      <c r="A381" s="90" t="s">
        <v>4901</v>
      </c>
      <c r="B381" s="89" t="s">
        <v>5149</v>
      </c>
    </row>
    <row r="382" spans="1:2" ht="15">
      <c r="A382" s="90" t="s">
        <v>4902</v>
      </c>
      <c r="B382" s="89" t="s">
        <v>5149</v>
      </c>
    </row>
    <row r="383" spans="1:2" ht="15">
      <c r="A383" s="90" t="s">
        <v>4903</v>
      </c>
      <c r="B383" s="89" t="s">
        <v>5149</v>
      </c>
    </row>
    <row r="384" spans="1:2" ht="15">
      <c r="A384" s="90" t="s">
        <v>3933</v>
      </c>
      <c r="B384" s="89" t="s">
        <v>5149</v>
      </c>
    </row>
    <row r="385" spans="1:2" ht="15">
      <c r="A385" s="90" t="s">
        <v>3722</v>
      </c>
      <c r="B385" s="89" t="s">
        <v>5149</v>
      </c>
    </row>
    <row r="386" spans="1:2" ht="15">
      <c r="A386" s="90" t="s">
        <v>3587</v>
      </c>
      <c r="B386" s="89" t="s">
        <v>5149</v>
      </c>
    </row>
    <row r="387" spans="1:2" ht="15">
      <c r="A387" s="90" t="s">
        <v>4043</v>
      </c>
      <c r="B387" s="89" t="s">
        <v>5149</v>
      </c>
    </row>
    <row r="388" spans="1:2" ht="15">
      <c r="A388" s="90" t="s">
        <v>4904</v>
      </c>
      <c r="B388" s="89" t="s">
        <v>5149</v>
      </c>
    </row>
    <row r="389" spans="1:2" ht="15">
      <c r="A389" s="90" t="s">
        <v>3323</v>
      </c>
      <c r="B389" s="89" t="s">
        <v>5149</v>
      </c>
    </row>
    <row r="390" spans="1:2" ht="15">
      <c r="A390" s="90" t="s">
        <v>4905</v>
      </c>
      <c r="B390" s="89" t="s">
        <v>5149</v>
      </c>
    </row>
    <row r="391" spans="1:2" ht="15">
      <c r="A391" s="90" t="s">
        <v>4906</v>
      </c>
      <c r="B391" s="89" t="s">
        <v>5149</v>
      </c>
    </row>
    <row r="392" spans="1:2" ht="15">
      <c r="A392" s="90" t="s">
        <v>4907</v>
      </c>
      <c r="B392" s="89" t="s">
        <v>5149</v>
      </c>
    </row>
    <row r="393" spans="1:2" ht="15">
      <c r="A393" s="90" t="s">
        <v>3700</v>
      </c>
      <c r="B393" s="89" t="s">
        <v>5149</v>
      </c>
    </row>
    <row r="394" spans="1:2" ht="15">
      <c r="A394" s="90" t="s">
        <v>4908</v>
      </c>
      <c r="B394" s="89" t="s">
        <v>5149</v>
      </c>
    </row>
    <row r="395" spans="1:2" ht="15">
      <c r="A395" s="90" t="s">
        <v>3148</v>
      </c>
      <c r="B395" s="89" t="s">
        <v>5149</v>
      </c>
    </row>
    <row r="396" spans="1:2" ht="15">
      <c r="A396" s="90" t="s">
        <v>4909</v>
      </c>
      <c r="B396" s="89" t="s">
        <v>5149</v>
      </c>
    </row>
    <row r="397" spans="1:2" ht="15">
      <c r="A397" s="90" t="s">
        <v>3490</v>
      </c>
      <c r="B397" s="89" t="s">
        <v>5149</v>
      </c>
    </row>
    <row r="398" spans="1:2" ht="15">
      <c r="A398" s="90" t="s">
        <v>3362</v>
      </c>
      <c r="B398" s="89" t="s">
        <v>5149</v>
      </c>
    </row>
    <row r="399" spans="1:2" ht="15">
      <c r="A399" s="90" t="s">
        <v>3432</v>
      </c>
      <c r="B399" s="89" t="s">
        <v>5149</v>
      </c>
    </row>
    <row r="400" spans="1:2" ht="15">
      <c r="A400" s="90" t="s">
        <v>4910</v>
      </c>
      <c r="B400" s="89" t="s">
        <v>5149</v>
      </c>
    </row>
    <row r="401" spans="1:2" ht="15">
      <c r="A401" s="90" t="s">
        <v>4911</v>
      </c>
      <c r="B401" s="89" t="s">
        <v>5149</v>
      </c>
    </row>
    <row r="402" spans="1:2" ht="15">
      <c r="A402" s="90" t="s">
        <v>4912</v>
      </c>
      <c r="B402" s="89" t="s">
        <v>5149</v>
      </c>
    </row>
    <row r="403" spans="1:2" ht="15">
      <c r="A403" s="90" t="s">
        <v>3728</v>
      </c>
      <c r="B403" s="89" t="s">
        <v>5149</v>
      </c>
    </row>
    <row r="404" spans="1:2" ht="15">
      <c r="A404" s="90" t="s">
        <v>4913</v>
      </c>
      <c r="B404" s="89" t="s">
        <v>5149</v>
      </c>
    </row>
    <row r="405" spans="1:2" ht="15">
      <c r="A405" s="90" t="s">
        <v>3765</v>
      </c>
      <c r="B405" s="89" t="s">
        <v>5149</v>
      </c>
    </row>
    <row r="406" spans="1:2" ht="15">
      <c r="A406" s="90" t="s">
        <v>4914</v>
      </c>
      <c r="B406" s="89" t="s">
        <v>5149</v>
      </c>
    </row>
    <row r="407" spans="1:2" ht="15">
      <c r="A407" s="90" t="s">
        <v>4915</v>
      </c>
      <c r="B407" s="89" t="s">
        <v>5149</v>
      </c>
    </row>
    <row r="408" spans="1:2" ht="15">
      <c r="A408" s="90" t="s">
        <v>4916</v>
      </c>
      <c r="B408" s="89" t="s">
        <v>5149</v>
      </c>
    </row>
    <row r="409" spans="1:2" ht="15">
      <c r="A409" s="90" t="s">
        <v>3181</v>
      </c>
      <c r="B409" s="89" t="s">
        <v>5149</v>
      </c>
    </row>
    <row r="410" spans="1:2" ht="15">
      <c r="A410" s="90" t="s">
        <v>4917</v>
      </c>
      <c r="B410" s="89" t="s">
        <v>5149</v>
      </c>
    </row>
    <row r="411" spans="1:2" ht="15">
      <c r="A411" s="90" t="s">
        <v>3313</v>
      </c>
      <c r="B411" s="89" t="s">
        <v>5149</v>
      </c>
    </row>
    <row r="412" spans="1:2" ht="15">
      <c r="A412" s="90" t="s">
        <v>3912</v>
      </c>
      <c r="B412" s="89" t="s">
        <v>5149</v>
      </c>
    </row>
    <row r="413" spans="1:2" ht="15">
      <c r="A413" s="90" t="s">
        <v>4918</v>
      </c>
      <c r="B413" s="89" t="s">
        <v>5149</v>
      </c>
    </row>
    <row r="414" spans="1:2" ht="15">
      <c r="A414" s="90" t="s">
        <v>3879</v>
      </c>
      <c r="B414" s="89" t="s">
        <v>5149</v>
      </c>
    </row>
    <row r="415" spans="1:2" ht="15">
      <c r="A415" s="90" t="s">
        <v>4919</v>
      </c>
      <c r="B415" s="89" t="s">
        <v>5149</v>
      </c>
    </row>
    <row r="416" spans="1:2" ht="15">
      <c r="A416" s="90" t="s">
        <v>3530</v>
      </c>
      <c r="B416" s="89" t="s">
        <v>5149</v>
      </c>
    </row>
    <row r="417" spans="1:2" ht="15">
      <c r="A417" s="90" t="s">
        <v>3153</v>
      </c>
      <c r="B417" s="89" t="s">
        <v>5149</v>
      </c>
    </row>
    <row r="418" spans="1:2" ht="15">
      <c r="A418" s="90" t="s">
        <v>4113</v>
      </c>
      <c r="B418" s="89" t="s">
        <v>5149</v>
      </c>
    </row>
    <row r="419" spans="1:2" ht="15">
      <c r="A419" s="90" t="s">
        <v>4073</v>
      </c>
      <c r="B419" s="89" t="s">
        <v>5149</v>
      </c>
    </row>
    <row r="420" spans="1:2" ht="15">
      <c r="A420" s="90" t="s">
        <v>4920</v>
      </c>
      <c r="B420" s="89" t="s">
        <v>5149</v>
      </c>
    </row>
    <row r="421" spans="1:2" ht="15">
      <c r="A421" s="90" t="s">
        <v>4921</v>
      </c>
      <c r="B421" s="89" t="s">
        <v>5149</v>
      </c>
    </row>
    <row r="422" spans="1:2" ht="15">
      <c r="A422" s="90" t="s">
        <v>4922</v>
      </c>
      <c r="B422" s="89" t="s">
        <v>5149</v>
      </c>
    </row>
    <row r="423" spans="1:2" ht="15">
      <c r="A423" s="90" t="s">
        <v>4923</v>
      </c>
      <c r="B423" s="89" t="s">
        <v>5149</v>
      </c>
    </row>
    <row r="424" spans="1:2" ht="15">
      <c r="A424" s="90" t="s">
        <v>4924</v>
      </c>
      <c r="B424" s="89" t="s">
        <v>5149</v>
      </c>
    </row>
    <row r="425" spans="1:2" ht="15">
      <c r="A425" s="90" t="s">
        <v>3243</v>
      </c>
      <c r="B425" s="89" t="s">
        <v>5149</v>
      </c>
    </row>
    <row r="426" spans="1:2" ht="15">
      <c r="A426" s="90" t="s">
        <v>4518</v>
      </c>
      <c r="B426" s="89" t="s">
        <v>5149</v>
      </c>
    </row>
    <row r="427" spans="1:2" ht="15">
      <c r="A427" s="90" t="s">
        <v>4925</v>
      </c>
      <c r="B427" s="89" t="s">
        <v>5149</v>
      </c>
    </row>
    <row r="428" spans="1:2" ht="15">
      <c r="A428" s="90" t="s">
        <v>4926</v>
      </c>
      <c r="B428" s="89" t="s">
        <v>5149</v>
      </c>
    </row>
    <row r="429" spans="1:2" ht="15">
      <c r="A429" s="90" t="s">
        <v>4927</v>
      </c>
      <c r="B429" s="89" t="s">
        <v>5149</v>
      </c>
    </row>
    <row r="430" spans="1:2" ht="15">
      <c r="A430" s="90" t="s">
        <v>4928</v>
      </c>
      <c r="B430" s="89" t="s">
        <v>5149</v>
      </c>
    </row>
    <row r="431" spans="1:2" ht="15">
      <c r="A431" s="90" t="s">
        <v>3475</v>
      </c>
      <c r="B431" s="89" t="s">
        <v>5149</v>
      </c>
    </row>
    <row r="432" spans="1:2" ht="15">
      <c r="A432" s="90" t="s">
        <v>4433</v>
      </c>
      <c r="B432" s="89" t="s">
        <v>5149</v>
      </c>
    </row>
    <row r="433" spans="1:2" ht="15">
      <c r="A433" s="90" t="s">
        <v>4929</v>
      </c>
      <c r="B433" s="89" t="s">
        <v>5149</v>
      </c>
    </row>
    <row r="434" spans="1:2" ht="15">
      <c r="A434" s="90" t="s">
        <v>3234</v>
      </c>
      <c r="B434" s="89" t="s">
        <v>5149</v>
      </c>
    </row>
    <row r="435" spans="1:2" ht="15">
      <c r="A435" s="90" t="s">
        <v>4930</v>
      </c>
      <c r="B435" s="89" t="s">
        <v>5149</v>
      </c>
    </row>
    <row r="436" spans="1:2" ht="15">
      <c r="A436" s="90" t="s">
        <v>3214</v>
      </c>
      <c r="B436" s="89" t="s">
        <v>5149</v>
      </c>
    </row>
    <row r="437" spans="1:2" ht="15">
      <c r="A437" s="90" t="s">
        <v>4931</v>
      </c>
      <c r="B437" s="89" t="s">
        <v>5149</v>
      </c>
    </row>
    <row r="438" spans="1:2" ht="15">
      <c r="A438" s="90" t="s">
        <v>4932</v>
      </c>
      <c r="B438" s="89" t="s">
        <v>5149</v>
      </c>
    </row>
    <row r="439" spans="1:2" ht="15">
      <c r="A439" s="90" t="s">
        <v>4933</v>
      </c>
      <c r="B439" s="89" t="s">
        <v>5149</v>
      </c>
    </row>
    <row r="440" spans="1:2" ht="15">
      <c r="A440" s="90" t="s">
        <v>4934</v>
      </c>
      <c r="B440" s="89" t="s">
        <v>5149</v>
      </c>
    </row>
    <row r="441" spans="1:2" ht="15">
      <c r="A441" s="90" t="s">
        <v>4935</v>
      </c>
      <c r="B441" s="89" t="s">
        <v>5149</v>
      </c>
    </row>
    <row r="442" spans="1:2" ht="15">
      <c r="A442" s="90" t="s">
        <v>3631</v>
      </c>
      <c r="B442" s="89" t="s">
        <v>5149</v>
      </c>
    </row>
    <row r="443" spans="1:2" ht="15">
      <c r="A443" s="90" t="s">
        <v>3480</v>
      </c>
      <c r="B443" s="89" t="s">
        <v>5149</v>
      </c>
    </row>
    <row r="444" spans="1:2" ht="15">
      <c r="A444" s="90" t="s">
        <v>3357</v>
      </c>
      <c r="B444" s="89" t="s">
        <v>5149</v>
      </c>
    </row>
    <row r="445" spans="1:2" ht="15">
      <c r="A445" s="90" t="s">
        <v>4517</v>
      </c>
      <c r="B445" s="89" t="s">
        <v>5149</v>
      </c>
    </row>
    <row r="446" spans="1:2" ht="15">
      <c r="A446" s="90" t="s">
        <v>4936</v>
      </c>
      <c r="B446" s="89" t="s">
        <v>5149</v>
      </c>
    </row>
    <row r="447" spans="1:2" ht="15">
      <c r="A447" s="90" t="s">
        <v>4937</v>
      </c>
      <c r="B447" s="89" t="s">
        <v>5149</v>
      </c>
    </row>
    <row r="448" spans="1:2" ht="15">
      <c r="A448" s="90" t="s">
        <v>3892</v>
      </c>
      <c r="B448" s="89" t="s">
        <v>5149</v>
      </c>
    </row>
    <row r="449" spans="1:2" ht="15">
      <c r="A449" s="90" t="s">
        <v>3299</v>
      </c>
      <c r="B449" s="89" t="s">
        <v>5149</v>
      </c>
    </row>
    <row r="450" spans="1:2" ht="15">
      <c r="A450" s="90" t="s">
        <v>3417</v>
      </c>
      <c r="B450" s="89" t="s">
        <v>5149</v>
      </c>
    </row>
    <row r="451" spans="1:2" ht="15">
      <c r="A451" s="90" t="s">
        <v>3784</v>
      </c>
      <c r="B451" s="89" t="s">
        <v>5149</v>
      </c>
    </row>
    <row r="452" spans="1:2" ht="15">
      <c r="A452" s="90" t="s">
        <v>4938</v>
      </c>
      <c r="B452" s="89" t="s">
        <v>5149</v>
      </c>
    </row>
    <row r="453" spans="1:2" ht="15">
      <c r="A453" s="90" t="s">
        <v>4939</v>
      </c>
      <c r="B453" s="89" t="s">
        <v>5149</v>
      </c>
    </row>
    <row r="454" spans="1:2" ht="15">
      <c r="A454" s="90" t="s">
        <v>4940</v>
      </c>
      <c r="B454" s="89" t="s">
        <v>5149</v>
      </c>
    </row>
    <row r="455" spans="1:2" ht="15">
      <c r="A455" s="90" t="s">
        <v>4941</v>
      </c>
      <c r="B455" s="89" t="s">
        <v>5149</v>
      </c>
    </row>
    <row r="456" spans="1:2" ht="15">
      <c r="A456" s="90" t="s">
        <v>4942</v>
      </c>
      <c r="B456" s="89" t="s">
        <v>5149</v>
      </c>
    </row>
    <row r="457" spans="1:2" ht="15">
      <c r="A457" s="90" t="s">
        <v>4280</v>
      </c>
      <c r="B457" s="89" t="s">
        <v>5149</v>
      </c>
    </row>
    <row r="458" spans="1:2" ht="15">
      <c r="A458" s="90" t="s">
        <v>3957</v>
      </c>
      <c r="B458" s="89" t="s">
        <v>5149</v>
      </c>
    </row>
    <row r="459" spans="1:2" ht="15">
      <c r="A459" s="90" t="s">
        <v>3338</v>
      </c>
      <c r="B459" s="89" t="s">
        <v>5149</v>
      </c>
    </row>
    <row r="460" spans="1:2" ht="15">
      <c r="A460" s="90" t="s">
        <v>3661</v>
      </c>
      <c r="B460" s="89" t="s">
        <v>5149</v>
      </c>
    </row>
    <row r="461" spans="1:2" ht="15">
      <c r="A461" s="90" t="s">
        <v>3309</v>
      </c>
      <c r="B461" s="89" t="s">
        <v>5149</v>
      </c>
    </row>
    <row r="462" spans="1:2" ht="15">
      <c r="A462" s="90" t="s">
        <v>4943</v>
      </c>
      <c r="B462" s="89" t="s">
        <v>5149</v>
      </c>
    </row>
    <row r="463" spans="1:2" ht="15">
      <c r="A463" s="90" t="s">
        <v>3902</v>
      </c>
      <c r="B463" s="89" t="s">
        <v>5149</v>
      </c>
    </row>
    <row r="464" spans="1:2" ht="15">
      <c r="A464" s="90" t="s">
        <v>4944</v>
      </c>
      <c r="B464" s="89" t="s">
        <v>5149</v>
      </c>
    </row>
    <row r="465" spans="1:2" ht="15">
      <c r="A465" s="90" t="s">
        <v>4945</v>
      </c>
      <c r="B465" s="89" t="s">
        <v>5149</v>
      </c>
    </row>
    <row r="466" spans="1:2" ht="15">
      <c r="A466" s="90" t="s">
        <v>3589</v>
      </c>
      <c r="B466" s="89" t="s">
        <v>5149</v>
      </c>
    </row>
    <row r="467" spans="1:2" ht="15">
      <c r="A467" s="90" t="s">
        <v>4946</v>
      </c>
      <c r="B467" s="89" t="s">
        <v>5149</v>
      </c>
    </row>
    <row r="468" spans="1:2" ht="15">
      <c r="A468" s="90" t="s">
        <v>4947</v>
      </c>
      <c r="B468" s="89" t="s">
        <v>5149</v>
      </c>
    </row>
    <row r="469" spans="1:2" ht="15">
      <c r="A469" s="90" t="s">
        <v>3719</v>
      </c>
      <c r="B469" s="89" t="s">
        <v>5149</v>
      </c>
    </row>
    <row r="470" spans="1:2" ht="15">
      <c r="A470" s="90" t="s">
        <v>4948</v>
      </c>
      <c r="B470" s="89" t="s">
        <v>5149</v>
      </c>
    </row>
    <row r="471" spans="1:2" ht="15">
      <c r="A471" s="90" t="s">
        <v>4949</v>
      </c>
      <c r="B471" s="89" t="s">
        <v>5149</v>
      </c>
    </row>
    <row r="472" spans="1:2" ht="15">
      <c r="A472" s="90" t="s">
        <v>3180</v>
      </c>
      <c r="B472" s="89" t="s">
        <v>5149</v>
      </c>
    </row>
    <row r="473" spans="1:2" ht="15">
      <c r="A473" s="90" t="s">
        <v>4950</v>
      </c>
      <c r="B473" s="89" t="s">
        <v>5149</v>
      </c>
    </row>
    <row r="474" spans="1:2" ht="15">
      <c r="A474" s="90" t="s">
        <v>4951</v>
      </c>
      <c r="B474" s="89" t="s">
        <v>5149</v>
      </c>
    </row>
    <row r="475" spans="1:2" ht="15">
      <c r="A475" s="90" t="s">
        <v>4952</v>
      </c>
      <c r="B475" s="89" t="s">
        <v>5149</v>
      </c>
    </row>
    <row r="476" spans="1:2" ht="15">
      <c r="A476" s="90" t="s">
        <v>4953</v>
      </c>
      <c r="B476" s="89" t="s">
        <v>5149</v>
      </c>
    </row>
    <row r="477" spans="1:2" ht="15">
      <c r="A477" s="90" t="s">
        <v>4954</v>
      </c>
      <c r="B477" s="89" t="s">
        <v>5149</v>
      </c>
    </row>
    <row r="478" spans="1:2" ht="15">
      <c r="A478" s="90" t="s">
        <v>4955</v>
      </c>
      <c r="B478" s="89" t="s">
        <v>5149</v>
      </c>
    </row>
    <row r="479" spans="1:2" ht="15">
      <c r="A479" s="90" t="s">
        <v>4956</v>
      </c>
      <c r="B479" s="89" t="s">
        <v>5149</v>
      </c>
    </row>
    <row r="480" spans="1:2" ht="15">
      <c r="A480" s="90" t="s">
        <v>4957</v>
      </c>
      <c r="B480" s="89" t="s">
        <v>5149</v>
      </c>
    </row>
    <row r="481" spans="1:2" ht="15">
      <c r="A481" s="90" t="s">
        <v>3782</v>
      </c>
      <c r="B481" s="89" t="s">
        <v>5149</v>
      </c>
    </row>
    <row r="482" spans="1:2" ht="15">
      <c r="A482" s="90" t="s">
        <v>4958</v>
      </c>
      <c r="B482" s="89" t="s">
        <v>5149</v>
      </c>
    </row>
    <row r="483" spans="1:2" ht="15">
      <c r="A483" s="90" t="s">
        <v>4959</v>
      </c>
      <c r="B483" s="89" t="s">
        <v>5149</v>
      </c>
    </row>
    <row r="484" spans="1:2" ht="15">
      <c r="A484" s="90" t="s">
        <v>3169</v>
      </c>
      <c r="B484" s="89" t="s">
        <v>5149</v>
      </c>
    </row>
    <row r="485" spans="1:2" ht="15">
      <c r="A485" s="90" t="s">
        <v>4037</v>
      </c>
      <c r="B485" s="89" t="s">
        <v>5149</v>
      </c>
    </row>
    <row r="486" spans="1:2" ht="15">
      <c r="A486" s="90" t="s">
        <v>4960</v>
      </c>
      <c r="B486" s="89" t="s">
        <v>5149</v>
      </c>
    </row>
    <row r="487" spans="1:2" ht="15">
      <c r="A487" s="90" t="s">
        <v>4961</v>
      </c>
      <c r="B487" s="89" t="s">
        <v>5149</v>
      </c>
    </row>
    <row r="488" spans="1:2" ht="15">
      <c r="A488" s="90" t="s">
        <v>4962</v>
      </c>
      <c r="B488" s="89" t="s">
        <v>5149</v>
      </c>
    </row>
    <row r="489" spans="1:2" ht="15">
      <c r="A489" s="90" t="s">
        <v>4963</v>
      </c>
      <c r="B489" s="89" t="s">
        <v>5149</v>
      </c>
    </row>
    <row r="490" spans="1:2" ht="15">
      <c r="A490" s="90" t="s">
        <v>4964</v>
      </c>
      <c r="B490" s="89" t="s">
        <v>5149</v>
      </c>
    </row>
    <row r="491" spans="1:2" ht="15">
      <c r="A491" s="90" t="s">
        <v>4965</v>
      </c>
      <c r="B491" s="89" t="s">
        <v>5149</v>
      </c>
    </row>
    <row r="492" spans="1:2" ht="15">
      <c r="A492" s="90" t="s">
        <v>4966</v>
      </c>
      <c r="B492" s="89" t="s">
        <v>5149</v>
      </c>
    </row>
    <row r="493" spans="1:2" ht="15">
      <c r="A493" s="90" t="s">
        <v>4967</v>
      </c>
      <c r="B493" s="89" t="s">
        <v>5149</v>
      </c>
    </row>
    <row r="494" spans="1:2" ht="15">
      <c r="A494" s="90" t="s">
        <v>4968</v>
      </c>
      <c r="B494" s="89" t="s">
        <v>5149</v>
      </c>
    </row>
    <row r="495" spans="1:2" ht="15">
      <c r="A495" s="90" t="s">
        <v>4969</v>
      </c>
      <c r="B495" s="89" t="s">
        <v>5149</v>
      </c>
    </row>
    <row r="496" spans="1:2" ht="15">
      <c r="A496" s="90" t="s">
        <v>4970</v>
      </c>
      <c r="B496" s="89" t="s">
        <v>5149</v>
      </c>
    </row>
    <row r="497" spans="1:2" ht="15">
      <c r="A497" s="90" t="s">
        <v>4971</v>
      </c>
      <c r="B497" s="89" t="s">
        <v>5149</v>
      </c>
    </row>
    <row r="498" spans="1:2" ht="15">
      <c r="A498" s="90" t="s">
        <v>4972</v>
      </c>
      <c r="B498" s="89" t="s">
        <v>5149</v>
      </c>
    </row>
    <row r="499" spans="1:2" ht="15">
      <c r="A499" s="90" t="s">
        <v>4973</v>
      </c>
      <c r="B499" s="89" t="s">
        <v>5149</v>
      </c>
    </row>
    <row r="500" spans="1:2" ht="15">
      <c r="A500" s="90" t="s">
        <v>4974</v>
      </c>
      <c r="B500" s="89" t="s">
        <v>5149</v>
      </c>
    </row>
    <row r="501" spans="1:2" ht="15">
      <c r="A501" s="90" t="s">
        <v>4975</v>
      </c>
      <c r="B501" s="89" t="s">
        <v>5149</v>
      </c>
    </row>
    <row r="502" spans="1:2" ht="15">
      <c r="A502" s="90" t="s">
        <v>3141</v>
      </c>
      <c r="B502" s="89" t="s">
        <v>5149</v>
      </c>
    </row>
    <row r="503" spans="1:2" ht="15">
      <c r="A503" s="90" t="s">
        <v>4976</v>
      </c>
      <c r="B503" s="89" t="s">
        <v>5149</v>
      </c>
    </row>
    <row r="504" spans="1:2" ht="15">
      <c r="A504" s="90" t="s">
        <v>4977</v>
      </c>
      <c r="B504" s="89" t="s">
        <v>5149</v>
      </c>
    </row>
    <row r="505" spans="1:2" ht="15">
      <c r="A505" s="90" t="s">
        <v>3356</v>
      </c>
      <c r="B505" s="89" t="s">
        <v>5149</v>
      </c>
    </row>
    <row r="506" spans="1:2" ht="15">
      <c r="A506" s="90" t="s">
        <v>4978</v>
      </c>
      <c r="B506" s="89" t="s">
        <v>5149</v>
      </c>
    </row>
    <row r="507" spans="1:2" ht="15">
      <c r="A507" s="90" t="s">
        <v>4979</v>
      </c>
      <c r="B507" s="89" t="s">
        <v>5149</v>
      </c>
    </row>
    <row r="508" spans="1:2" ht="15">
      <c r="A508" s="90" t="s">
        <v>4980</v>
      </c>
      <c r="B508" s="89" t="s">
        <v>5149</v>
      </c>
    </row>
    <row r="509" spans="1:2" ht="15">
      <c r="A509" s="90" t="s">
        <v>4981</v>
      </c>
      <c r="B509" s="89" t="s">
        <v>5149</v>
      </c>
    </row>
    <row r="510" spans="1:2" ht="15">
      <c r="A510" s="90" t="s">
        <v>3724</v>
      </c>
      <c r="B510" s="89" t="s">
        <v>5149</v>
      </c>
    </row>
    <row r="511" spans="1:2" ht="15">
      <c r="A511" s="90" t="s">
        <v>3725</v>
      </c>
      <c r="B511" s="89" t="s">
        <v>5149</v>
      </c>
    </row>
    <row r="512" spans="1:2" ht="15">
      <c r="A512" s="90" t="s">
        <v>3167</v>
      </c>
      <c r="B512" s="89" t="s">
        <v>5149</v>
      </c>
    </row>
    <row r="513" spans="1:2" ht="15">
      <c r="A513" s="90" t="s">
        <v>4982</v>
      </c>
      <c r="B513" s="89" t="s">
        <v>5149</v>
      </c>
    </row>
    <row r="514" spans="1:2" ht="15">
      <c r="A514" s="90" t="s">
        <v>4983</v>
      </c>
      <c r="B514" s="89" t="s">
        <v>5149</v>
      </c>
    </row>
    <row r="515" spans="1:2" ht="15">
      <c r="A515" s="90" t="s">
        <v>4984</v>
      </c>
      <c r="B515" s="89" t="s">
        <v>5149</v>
      </c>
    </row>
    <row r="516" spans="1:2" ht="15">
      <c r="A516" s="90" t="s">
        <v>4985</v>
      </c>
      <c r="B516" s="89" t="s">
        <v>5149</v>
      </c>
    </row>
    <row r="517" spans="1:2" ht="15">
      <c r="A517" s="90" t="s">
        <v>4986</v>
      </c>
      <c r="B517" s="89" t="s">
        <v>5149</v>
      </c>
    </row>
    <row r="518" spans="1:2" ht="15">
      <c r="A518" s="90" t="s">
        <v>4987</v>
      </c>
      <c r="B518" s="89" t="s">
        <v>5149</v>
      </c>
    </row>
    <row r="519" spans="1:2" ht="15">
      <c r="A519" s="90" t="s">
        <v>4988</v>
      </c>
      <c r="B519" s="89" t="s">
        <v>5149</v>
      </c>
    </row>
    <row r="520" spans="1:2" ht="15">
      <c r="A520" s="90" t="s">
        <v>4989</v>
      </c>
      <c r="B520" s="89" t="s">
        <v>5149</v>
      </c>
    </row>
    <row r="521" spans="1:2" ht="15">
      <c r="A521" s="90" t="s">
        <v>4990</v>
      </c>
      <c r="B521" s="89" t="s">
        <v>5149</v>
      </c>
    </row>
    <row r="522" spans="1:2" ht="15">
      <c r="A522" s="90" t="s">
        <v>4991</v>
      </c>
      <c r="B522" s="89" t="s">
        <v>5149</v>
      </c>
    </row>
    <row r="523" spans="1:2" ht="15">
      <c r="A523" s="90" t="s">
        <v>4992</v>
      </c>
      <c r="B523" s="89" t="s">
        <v>5149</v>
      </c>
    </row>
    <row r="524" spans="1:2" ht="15">
      <c r="A524" s="90" t="s">
        <v>4993</v>
      </c>
      <c r="B524" s="89" t="s">
        <v>5149</v>
      </c>
    </row>
    <row r="525" spans="1:2" ht="15">
      <c r="A525" s="90" t="s">
        <v>4994</v>
      </c>
      <c r="B525" s="89" t="s">
        <v>5149</v>
      </c>
    </row>
    <row r="526" spans="1:2" ht="15">
      <c r="A526" s="90" t="s">
        <v>4995</v>
      </c>
      <c r="B526" s="89" t="s">
        <v>5149</v>
      </c>
    </row>
    <row r="527" spans="1:2" ht="15">
      <c r="A527" s="90" t="s">
        <v>3778</v>
      </c>
      <c r="B527" s="89" t="s">
        <v>5149</v>
      </c>
    </row>
    <row r="528" spans="1:2" ht="15">
      <c r="A528" s="90" t="s">
        <v>4996</v>
      </c>
      <c r="B528" s="89" t="s">
        <v>5149</v>
      </c>
    </row>
    <row r="529" spans="1:2" ht="15">
      <c r="A529" s="90" t="s">
        <v>4997</v>
      </c>
      <c r="B529" s="89" t="s">
        <v>5149</v>
      </c>
    </row>
    <row r="530" spans="1:2" ht="15">
      <c r="A530" s="90" t="s">
        <v>4998</v>
      </c>
      <c r="B530" s="89" t="s">
        <v>5149</v>
      </c>
    </row>
    <row r="531" spans="1:2" ht="15">
      <c r="A531" s="90" t="s">
        <v>4999</v>
      </c>
      <c r="B531" s="89" t="s">
        <v>5149</v>
      </c>
    </row>
    <row r="532" spans="1:2" ht="15">
      <c r="A532" s="90" t="s">
        <v>3595</v>
      </c>
      <c r="B532" s="89" t="s">
        <v>5149</v>
      </c>
    </row>
    <row r="533" spans="1:2" ht="15">
      <c r="A533" s="90" t="s">
        <v>3266</v>
      </c>
      <c r="B533" s="89" t="s">
        <v>5149</v>
      </c>
    </row>
    <row r="534" spans="1:2" ht="15">
      <c r="A534" s="90" t="s">
        <v>4582</v>
      </c>
      <c r="B534" s="89" t="s">
        <v>5149</v>
      </c>
    </row>
    <row r="535" spans="1:2" ht="15">
      <c r="A535" s="90" t="s">
        <v>5000</v>
      </c>
      <c r="B535" s="89" t="s">
        <v>5149</v>
      </c>
    </row>
    <row r="536" spans="1:2" ht="15">
      <c r="A536" s="90" t="s">
        <v>5001</v>
      </c>
      <c r="B536" s="89" t="s">
        <v>5149</v>
      </c>
    </row>
    <row r="537" spans="1:2" ht="15">
      <c r="A537" s="90" t="s">
        <v>5002</v>
      </c>
      <c r="B537" s="89" t="s">
        <v>5149</v>
      </c>
    </row>
    <row r="538" spans="1:2" ht="15">
      <c r="A538" s="90" t="s">
        <v>5003</v>
      </c>
      <c r="B538" s="89" t="s">
        <v>5149</v>
      </c>
    </row>
    <row r="539" spans="1:2" ht="15">
      <c r="A539" s="90" t="s">
        <v>4465</v>
      </c>
      <c r="B539" s="89" t="s">
        <v>5149</v>
      </c>
    </row>
    <row r="540" spans="1:2" ht="15">
      <c r="A540" s="90" t="s">
        <v>5004</v>
      </c>
      <c r="B540" s="89" t="s">
        <v>5149</v>
      </c>
    </row>
    <row r="541" spans="1:2" ht="15">
      <c r="A541" s="90" t="s">
        <v>5005</v>
      </c>
      <c r="B541" s="89" t="s">
        <v>5149</v>
      </c>
    </row>
    <row r="542" spans="1:2" ht="15">
      <c r="A542" s="90" t="s">
        <v>5006</v>
      </c>
      <c r="B542" s="89" t="s">
        <v>5149</v>
      </c>
    </row>
    <row r="543" spans="1:2" ht="15">
      <c r="A543" s="90" t="s">
        <v>5007</v>
      </c>
      <c r="B543" s="89" t="s">
        <v>5149</v>
      </c>
    </row>
    <row r="544" spans="1:2" ht="15">
      <c r="A544" s="90" t="s">
        <v>5008</v>
      </c>
      <c r="B544" s="89" t="s">
        <v>5149</v>
      </c>
    </row>
    <row r="545" spans="1:2" ht="15">
      <c r="A545" s="90" t="s">
        <v>3192</v>
      </c>
      <c r="B545" s="89" t="s">
        <v>5149</v>
      </c>
    </row>
    <row r="546" spans="1:2" ht="15">
      <c r="A546" s="90" t="s">
        <v>5009</v>
      </c>
      <c r="B546" s="89" t="s">
        <v>5149</v>
      </c>
    </row>
    <row r="547" spans="1:2" ht="15">
      <c r="A547" s="90" t="s">
        <v>3173</v>
      </c>
      <c r="B547" s="89" t="s">
        <v>5149</v>
      </c>
    </row>
    <row r="548" spans="1:2" ht="15">
      <c r="A548" s="90" t="s">
        <v>3304</v>
      </c>
      <c r="B548" s="89" t="s">
        <v>5149</v>
      </c>
    </row>
    <row r="549" spans="1:2" ht="15">
      <c r="A549" s="90" t="s">
        <v>3565</v>
      </c>
      <c r="B549" s="89" t="s">
        <v>5149</v>
      </c>
    </row>
    <row r="550" spans="1:2" ht="15">
      <c r="A550" s="90" t="s">
        <v>3159</v>
      </c>
      <c r="B550" s="89" t="s">
        <v>5149</v>
      </c>
    </row>
    <row r="551" spans="1:2" ht="15">
      <c r="A551" s="90" t="s">
        <v>4494</v>
      </c>
      <c r="B551" s="89" t="s">
        <v>5149</v>
      </c>
    </row>
    <row r="552" spans="1:2" ht="15">
      <c r="A552" s="90" t="s">
        <v>3932</v>
      </c>
      <c r="B552" s="89" t="s">
        <v>5149</v>
      </c>
    </row>
    <row r="553" spans="1:2" ht="15">
      <c r="A553" s="90" t="s">
        <v>3321</v>
      </c>
      <c r="B553" s="89" t="s">
        <v>5149</v>
      </c>
    </row>
    <row r="554" spans="1:2" ht="15">
      <c r="A554" s="90" t="s">
        <v>3465</v>
      </c>
      <c r="B554" s="89" t="s">
        <v>5149</v>
      </c>
    </row>
    <row r="555" spans="1:2" ht="15">
      <c r="A555" s="90" t="s">
        <v>3289</v>
      </c>
      <c r="B555" s="89" t="s">
        <v>5149</v>
      </c>
    </row>
    <row r="556" spans="1:2" ht="15">
      <c r="A556" s="90" t="s">
        <v>4204</v>
      </c>
      <c r="B556" s="89" t="s">
        <v>5149</v>
      </c>
    </row>
    <row r="557" spans="1:2" ht="15">
      <c r="A557" s="90" t="s">
        <v>3476</v>
      </c>
      <c r="B557" s="89" t="s">
        <v>5149</v>
      </c>
    </row>
    <row r="558" spans="1:2" ht="15">
      <c r="A558" s="90" t="s">
        <v>3522</v>
      </c>
      <c r="B558" s="89" t="s">
        <v>5149</v>
      </c>
    </row>
    <row r="559" spans="1:2" ht="15">
      <c r="A559" s="90" t="s">
        <v>5010</v>
      </c>
      <c r="B559" s="89" t="s">
        <v>5149</v>
      </c>
    </row>
    <row r="560" spans="1:2" ht="15">
      <c r="A560" s="90" t="s">
        <v>5011</v>
      </c>
      <c r="B560" s="89" t="s">
        <v>5149</v>
      </c>
    </row>
    <row r="561" spans="1:2" ht="15">
      <c r="A561" s="90" t="s">
        <v>4516</v>
      </c>
      <c r="B561" s="89" t="s">
        <v>5149</v>
      </c>
    </row>
    <row r="562" spans="1:2" ht="15">
      <c r="A562" s="90" t="s">
        <v>5012</v>
      </c>
      <c r="B562" s="89" t="s">
        <v>5149</v>
      </c>
    </row>
    <row r="563" spans="1:2" ht="15">
      <c r="A563" s="90" t="s">
        <v>5013</v>
      </c>
      <c r="B563" s="89" t="s">
        <v>5149</v>
      </c>
    </row>
    <row r="564" spans="1:2" ht="15">
      <c r="A564" s="90" t="s">
        <v>3723</v>
      </c>
      <c r="B564" s="89" t="s">
        <v>5149</v>
      </c>
    </row>
    <row r="565" spans="1:2" ht="15">
      <c r="A565" s="90" t="s">
        <v>5014</v>
      </c>
      <c r="B565" s="89" t="s">
        <v>5149</v>
      </c>
    </row>
    <row r="566" spans="1:2" ht="15">
      <c r="A566" s="90" t="s">
        <v>3450</v>
      </c>
      <c r="B566" s="89" t="s">
        <v>5149</v>
      </c>
    </row>
    <row r="567" spans="1:2" ht="15">
      <c r="A567" s="90" t="s">
        <v>5015</v>
      </c>
      <c r="B567" s="89" t="s">
        <v>5149</v>
      </c>
    </row>
    <row r="568" spans="1:2" ht="15">
      <c r="A568" s="90" t="s">
        <v>5016</v>
      </c>
      <c r="B568" s="89" t="s">
        <v>5149</v>
      </c>
    </row>
    <row r="569" spans="1:2" ht="15">
      <c r="A569" s="90" t="s">
        <v>5017</v>
      </c>
      <c r="B569" s="89" t="s">
        <v>5149</v>
      </c>
    </row>
    <row r="570" spans="1:2" ht="15">
      <c r="A570" s="90" t="s">
        <v>5018</v>
      </c>
      <c r="B570" s="89" t="s">
        <v>5149</v>
      </c>
    </row>
    <row r="571" spans="1:2" ht="15">
      <c r="A571" s="90" t="s">
        <v>5019</v>
      </c>
      <c r="B571" s="89" t="s">
        <v>5149</v>
      </c>
    </row>
    <row r="572" spans="1:2" ht="15">
      <c r="A572" s="90" t="s">
        <v>3201</v>
      </c>
      <c r="B572" s="89" t="s">
        <v>5149</v>
      </c>
    </row>
    <row r="573" spans="1:2" ht="15">
      <c r="A573" s="90" t="s">
        <v>3369</v>
      </c>
      <c r="B573" s="89" t="s">
        <v>5149</v>
      </c>
    </row>
    <row r="574" spans="1:2" ht="15">
      <c r="A574" s="90" t="s">
        <v>3253</v>
      </c>
      <c r="B574" s="89" t="s">
        <v>5149</v>
      </c>
    </row>
    <row r="575" spans="1:2" ht="15">
      <c r="A575" s="90" t="s">
        <v>5020</v>
      </c>
      <c r="B575" s="89" t="s">
        <v>5149</v>
      </c>
    </row>
    <row r="576" spans="1:2" ht="15">
      <c r="A576" s="90" t="s">
        <v>5021</v>
      </c>
      <c r="B576" s="89" t="s">
        <v>5149</v>
      </c>
    </row>
    <row r="577" spans="1:2" ht="15">
      <c r="A577" s="90" t="s">
        <v>5022</v>
      </c>
      <c r="B577" s="89" t="s">
        <v>5149</v>
      </c>
    </row>
    <row r="578" spans="1:2" ht="15">
      <c r="A578" s="90" t="s">
        <v>5023</v>
      </c>
      <c r="B578" s="89" t="s">
        <v>5149</v>
      </c>
    </row>
    <row r="579" spans="1:2" ht="15">
      <c r="A579" s="90" t="s">
        <v>5024</v>
      </c>
      <c r="B579" s="89" t="s">
        <v>5149</v>
      </c>
    </row>
    <row r="580" spans="1:2" ht="15">
      <c r="A580" s="90" t="s">
        <v>5025</v>
      </c>
      <c r="B580" s="89" t="s">
        <v>5149</v>
      </c>
    </row>
    <row r="581" spans="1:2" ht="15">
      <c r="A581" s="90" t="s">
        <v>5026</v>
      </c>
      <c r="B581" s="89" t="s">
        <v>5149</v>
      </c>
    </row>
    <row r="582" spans="1:2" ht="15">
      <c r="A582" s="90" t="s">
        <v>5027</v>
      </c>
      <c r="B582" s="89" t="s">
        <v>5149</v>
      </c>
    </row>
    <row r="583" spans="1:2" ht="15">
      <c r="A583" s="90" t="s">
        <v>5028</v>
      </c>
      <c r="B583" s="89" t="s">
        <v>5149</v>
      </c>
    </row>
    <row r="584" spans="1:2" ht="15">
      <c r="A584" s="90" t="s">
        <v>3455</v>
      </c>
      <c r="B584" s="89" t="s">
        <v>5149</v>
      </c>
    </row>
    <row r="585" spans="1:2" ht="15">
      <c r="A585" s="90" t="s">
        <v>5029</v>
      </c>
      <c r="B585" s="89" t="s">
        <v>5149</v>
      </c>
    </row>
    <row r="586" spans="1:2" ht="15">
      <c r="A586" s="90" t="s">
        <v>3644</v>
      </c>
      <c r="B586" s="89" t="s">
        <v>5149</v>
      </c>
    </row>
    <row r="587" spans="1:2" ht="15">
      <c r="A587" s="90" t="s">
        <v>5030</v>
      </c>
      <c r="B587" s="89" t="s">
        <v>5149</v>
      </c>
    </row>
    <row r="588" spans="1:2" ht="15">
      <c r="A588" s="90" t="s">
        <v>3284</v>
      </c>
      <c r="B588" s="89" t="s">
        <v>5149</v>
      </c>
    </row>
    <row r="589" spans="1:2" ht="15">
      <c r="A589" s="90" t="s">
        <v>5031</v>
      </c>
      <c r="B589" s="89" t="s">
        <v>5149</v>
      </c>
    </row>
    <row r="590" spans="1:2" ht="15">
      <c r="A590" s="90" t="s">
        <v>3502</v>
      </c>
      <c r="B590" s="89" t="s">
        <v>5149</v>
      </c>
    </row>
    <row r="591" spans="1:2" ht="15">
      <c r="A591" s="90" t="s">
        <v>5032</v>
      </c>
      <c r="B591" s="89" t="s">
        <v>5149</v>
      </c>
    </row>
    <row r="592" spans="1:2" ht="15">
      <c r="A592" s="90" t="s">
        <v>5033</v>
      </c>
      <c r="B592" s="89" t="s">
        <v>5149</v>
      </c>
    </row>
    <row r="593" spans="1:2" ht="15">
      <c r="A593" s="90" t="s">
        <v>5034</v>
      </c>
      <c r="B593" s="89" t="s">
        <v>5149</v>
      </c>
    </row>
    <row r="594" spans="1:2" ht="15">
      <c r="A594" s="90" t="s">
        <v>3712</v>
      </c>
      <c r="B594" s="89" t="s">
        <v>5149</v>
      </c>
    </row>
    <row r="595" spans="1:2" ht="15">
      <c r="A595" s="90" t="s">
        <v>5035</v>
      </c>
      <c r="B595" s="89" t="s">
        <v>5149</v>
      </c>
    </row>
    <row r="596" spans="1:2" ht="15">
      <c r="A596" s="90" t="s">
        <v>5036</v>
      </c>
      <c r="B596" s="89" t="s">
        <v>5149</v>
      </c>
    </row>
    <row r="597" spans="1:2" ht="15">
      <c r="A597" s="90" t="s">
        <v>4230</v>
      </c>
      <c r="B597" s="89" t="s">
        <v>5149</v>
      </c>
    </row>
    <row r="598" spans="1:2" ht="15">
      <c r="A598" s="90" t="s">
        <v>3258</v>
      </c>
      <c r="B598" s="89" t="s">
        <v>5149</v>
      </c>
    </row>
    <row r="599" spans="1:2" ht="15">
      <c r="A599" s="90" t="s">
        <v>5037</v>
      </c>
      <c r="B599" s="89" t="s">
        <v>5149</v>
      </c>
    </row>
    <row r="600" spans="1:2" ht="15">
      <c r="A600" s="90" t="s">
        <v>3760</v>
      </c>
      <c r="B600" s="89" t="s">
        <v>5149</v>
      </c>
    </row>
    <row r="601" spans="1:2" ht="15">
      <c r="A601" s="90" t="s">
        <v>5038</v>
      </c>
      <c r="B601" s="89" t="s">
        <v>5149</v>
      </c>
    </row>
    <row r="602" spans="1:2" ht="15">
      <c r="A602" s="90" t="s">
        <v>5039</v>
      </c>
      <c r="B602" s="89" t="s">
        <v>5149</v>
      </c>
    </row>
    <row r="603" spans="1:2" ht="15">
      <c r="A603" s="90" t="s">
        <v>3593</v>
      </c>
      <c r="B603" s="89" t="s">
        <v>5149</v>
      </c>
    </row>
    <row r="604" spans="1:2" ht="15">
      <c r="A604" s="90" t="s">
        <v>5040</v>
      </c>
      <c r="B604" s="89" t="s">
        <v>5149</v>
      </c>
    </row>
    <row r="605" spans="1:2" ht="15">
      <c r="A605" s="90" t="s">
        <v>5041</v>
      </c>
      <c r="B605" s="89" t="s">
        <v>5149</v>
      </c>
    </row>
    <row r="606" spans="1:2" ht="15">
      <c r="A606" s="90" t="s">
        <v>5042</v>
      </c>
      <c r="B606" s="89" t="s">
        <v>5149</v>
      </c>
    </row>
    <row r="607" spans="1:2" ht="15">
      <c r="A607" s="90" t="s">
        <v>5043</v>
      </c>
      <c r="B607" s="89" t="s">
        <v>5149</v>
      </c>
    </row>
    <row r="608" spans="1:2" ht="15">
      <c r="A608" s="90" t="s">
        <v>5044</v>
      </c>
      <c r="B608" s="89" t="s">
        <v>5149</v>
      </c>
    </row>
    <row r="609" spans="1:2" ht="15">
      <c r="A609" s="90" t="s">
        <v>3195</v>
      </c>
      <c r="B609" s="89" t="s">
        <v>5149</v>
      </c>
    </row>
    <row r="610" spans="1:2" ht="15">
      <c r="A610" s="90" t="s">
        <v>5045</v>
      </c>
      <c r="B610" s="89" t="s">
        <v>5149</v>
      </c>
    </row>
    <row r="611" spans="1:2" ht="15">
      <c r="A611" s="90" t="s">
        <v>5046</v>
      </c>
      <c r="B611" s="89" t="s">
        <v>5149</v>
      </c>
    </row>
    <row r="612" spans="1:2" ht="15">
      <c r="A612" s="90" t="s">
        <v>5047</v>
      </c>
      <c r="B612" s="89" t="s">
        <v>5149</v>
      </c>
    </row>
    <row r="613" spans="1:2" ht="15">
      <c r="A613" s="90" t="s">
        <v>5048</v>
      </c>
      <c r="B613" s="89" t="s">
        <v>5149</v>
      </c>
    </row>
    <row r="614" spans="1:2" ht="15">
      <c r="A614" s="90" t="s">
        <v>3623</v>
      </c>
      <c r="B614" s="89" t="s">
        <v>5149</v>
      </c>
    </row>
    <row r="615" spans="1:2" ht="15">
      <c r="A615" s="90" t="s">
        <v>5049</v>
      </c>
      <c r="B615" s="89" t="s">
        <v>5149</v>
      </c>
    </row>
    <row r="616" spans="1:2" ht="15">
      <c r="A616" s="90" t="s">
        <v>5050</v>
      </c>
      <c r="B616" s="89" t="s">
        <v>5149</v>
      </c>
    </row>
    <row r="617" spans="1:2" ht="15">
      <c r="A617" s="90" t="s">
        <v>5051</v>
      </c>
      <c r="B617" s="89" t="s">
        <v>5149</v>
      </c>
    </row>
    <row r="618" spans="1:2" ht="15">
      <c r="A618" s="90" t="s">
        <v>5052</v>
      </c>
      <c r="B618" s="89" t="s">
        <v>5149</v>
      </c>
    </row>
    <row r="619" spans="1:2" ht="15">
      <c r="A619" s="90" t="s">
        <v>5053</v>
      </c>
      <c r="B619" s="89" t="s">
        <v>5149</v>
      </c>
    </row>
    <row r="620" spans="1:2" ht="15">
      <c r="A620" s="90" t="s">
        <v>5054</v>
      </c>
      <c r="B620" s="89" t="s">
        <v>5149</v>
      </c>
    </row>
    <row r="621" spans="1:2" ht="15">
      <c r="A621" s="90" t="s">
        <v>5055</v>
      </c>
      <c r="B621" s="89" t="s">
        <v>5149</v>
      </c>
    </row>
    <row r="622" spans="1:2" ht="15">
      <c r="A622" s="90" t="s">
        <v>5056</v>
      </c>
      <c r="B622" s="89" t="s">
        <v>5149</v>
      </c>
    </row>
    <row r="623" spans="1:2" ht="15">
      <c r="A623" s="90" t="s">
        <v>5057</v>
      </c>
      <c r="B623" s="89" t="s">
        <v>5149</v>
      </c>
    </row>
    <row r="624" spans="1:2" ht="15">
      <c r="A624" s="90" t="s">
        <v>5058</v>
      </c>
      <c r="B624" s="89" t="s">
        <v>5149</v>
      </c>
    </row>
    <row r="625" spans="1:2" ht="15">
      <c r="A625" s="90" t="s">
        <v>4541</v>
      </c>
      <c r="B625" s="89" t="s">
        <v>5149</v>
      </c>
    </row>
    <row r="626" spans="1:2" ht="15">
      <c r="A626" s="90" t="s">
        <v>5059</v>
      </c>
      <c r="B626" s="89" t="s">
        <v>5149</v>
      </c>
    </row>
    <row r="627" spans="1:2" ht="15">
      <c r="A627" s="90" t="s">
        <v>5060</v>
      </c>
      <c r="B627" s="89" t="s">
        <v>5149</v>
      </c>
    </row>
    <row r="628" spans="1:2" ht="15">
      <c r="A628" s="90" t="s">
        <v>5061</v>
      </c>
      <c r="B628" s="89" t="s">
        <v>5149</v>
      </c>
    </row>
    <row r="629" spans="1:2" ht="15">
      <c r="A629" s="90" t="s">
        <v>5062</v>
      </c>
      <c r="B629" s="89" t="s">
        <v>5149</v>
      </c>
    </row>
    <row r="630" spans="1:2" ht="15">
      <c r="A630" s="90" t="s">
        <v>5063</v>
      </c>
      <c r="B630" s="89" t="s">
        <v>5149</v>
      </c>
    </row>
    <row r="631" spans="1:2" ht="15">
      <c r="A631" s="90" t="s">
        <v>3582</v>
      </c>
      <c r="B631" s="89" t="s">
        <v>5149</v>
      </c>
    </row>
    <row r="632" spans="1:2" ht="15">
      <c r="A632" s="90" t="s">
        <v>4388</v>
      </c>
      <c r="B632" s="89" t="s">
        <v>5149</v>
      </c>
    </row>
    <row r="633" spans="1:2" ht="15">
      <c r="A633" s="90" t="s">
        <v>5064</v>
      </c>
      <c r="B633" s="89" t="s">
        <v>5149</v>
      </c>
    </row>
    <row r="634" spans="1:2" ht="15">
      <c r="A634" s="90" t="s">
        <v>5065</v>
      </c>
      <c r="B634" s="89" t="s">
        <v>5149</v>
      </c>
    </row>
    <row r="635" spans="1:2" ht="15">
      <c r="A635" s="90" t="s">
        <v>5066</v>
      </c>
      <c r="B635" s="89" t="s">
        <v>5149</v>
      </c>
    </row>
    <row r="636" spans="1:2" ht="15">
      <c r="A636" s="90" t="s">
        <v>3744</v>
      </c>
      <c r="B636" s="89" t="s">
        <v>5149</v>
      </c>
    </row>
    <row r="637" spans="1:2" ht="15">
      <c r="A637" s="90" t="s">
        <v>5067</v>
      </c>
      <c r="B637" s="89" t="s">
        <v>5149</v>
      </c>
    </row>
    <row r="638" spans="1:2" ht="15">
      <c r="A638" s="90" t="s">
        <v>5068</v>
      </c>
      <c r="B638" s="89" t="s">
        <v>5149</v>
      </c>
    </row>
    <row r="639" spans="1:2" ht="15">
      <c r="A639" s="90" t="s">
        <v>5069</v>
      </c>
      <c r="B639" s="89" t="s">
        <v>5149</v>
      </c>
    </row>
    <row r="640" spans="1:2" ht="15">
      <c r="A640" s="90" t="s">
        <v>5070</v>
      </c>
      <c r="B640" s="89" t="s">
        <v>5149</v>
      </c>
    </row>
    <row r="641" spans="1:2" ht="15">
      <c r="A641" s="90" t="s">
        <v>3318</v>
      </c>
      <c r="B641" s="89" t="s">
        <v>5149</v>
      </c>
    </row>
    <row r="642" spans="1:2" ht="15">
      <c r="A642" s="90" t="s">
        <v>5071</v>
      </c>
      <c r="B642" s="89" t="s">
        <v>5149</v>
      </c>
    </row>
    <row r="643" spans="1:2" ht="15">
      <c r="A643" s="90" t="s">
        <v>5072</v>
      </c>
      <c r="B643" s="89" t="s">
        <v>5149</v>
      </c>
    </row>
    <row r="644" spans="1:2" ht="15">
      <c r="A644" s="90" t="s">
        <v>3419</v>
      </c>
      <c r="B644" s="89" t="s">
        <v>5149</v>
      </c>
    </row>
    <row r="645" spans="1:2" ht="15">
      <c r="A645" s="90" t="s">
        <v>5073</v>
      </c>
      <c r="B645" s="89" t="s">
        <v>5149</v>
      </c>
    </row>
    <row r="646" spans="1:2" ht="15">
      <c r="A646" s="90" t="s">
        <v>5074</v>
      </c>
      <c r="B646" s="89" t="s">
        <v>5149</v>
      </c>
    </row>
    <row r="647" spans="1:2" ht="15">
      <c r="A647" s="90" t="s">
        <v>5075</v>
      </c>
      <c r="B647" s="89" t="s">
        <v>5149</v>
      </c>
    </row>
    <row r="648" spans="1:2" ht="15">
      <c r="A648" s="90" t="s">
        <v>5076</v>
      </c>
      <c r="B648" s="89" t="s">
        <v>5149</v>
      </c>
    </row>
    <row r="649" spans="1:2" ht="15">
      <c r="A649" s="90" t="s">
        <v>5077</v>
      </c>
      <c r="B649" s="89" t="s">
        <v>5149</v>
      </c>
    </row>
    <row r="650" spans="1:2" ht="15">
      <c r="A650" s="90" t="s">
        <v>5078</v>
      </c>
      <c r="B650" s="89" t="s">
        <v>5149</v>
      </c>
    </row>
    <row r="651" spans="1:2" ht="15">
      <c r="A651" s="90" t="s">
        <v>5079</v>
      </c>
      <c r="B651" s="89" t="s">
        <v>5149</v>
      </c>
    </row>
    <row r="652" spans="1:2" ht="15">
      <c r="A652" s="90" t="s">
        <v>5080</v>
      </c>
      <c r="B652" s="89" t="s">
        <v>5149</v>
      </c>
    </row>
    <row r="653" spans="1:2" ht="15">
      <c r="A653" s="90" t="s">
        <v>4408</v>
      </c>
      <c r="B653" s="89" t="s">
        <v>5149</v>
      </c>
    </row>
    <row r="654" spans="1:2" ht="15">
      <c r="A654" s="90" t="s">
        <v>5081</v>
      </c>
      <c r="B654" s="89" t="s">
        <v>5149</v>
      </c>
    </row>
    <row r="655" spans="1:2" ht="15">
      <c r="A655" s="90" t="s">
        <v>3876</v>
      </c>
      <c r="B655" s="89" t="s">
        <v>5149</v>
      </c>
    </row>
    <row r="656" spans="1:2" ht="15">
      <c r="A656" s="90" t="s">
        <v>5082</v>
      </c>
      <c r="B656" s="89" t="s">
        <v>5149</v>
      </c>
    </row>
    <row r="657" spans="1:2" ht="15">
      <c r="A657" s="90" t="s">
        <v>3249</v>
      </c>
      <c r="B657" s="89" t="s">
        <v>5149</v>
      </c>
    </row>
    <row r="658" spans="1:2" ht="15">
      <c r="A658" s="90" t="s">
        <v>5083</v>
      </c>
      <c r="B658" s="89" t="s">
        <v>5149</v>
      </c>
    </row>
    <row r="659" spans="1:2" ht="15">
      <c r="A659" s="90" t="s">
        <v>5084</v>
      </c>
      <c r="B659" s="89" t="s">
        <v>5149</v>
      </c>
    </row>
    <row r="660" spans="1:2" ht="15">
      <c r="A660" s="90" t="s">
        <v>5085</v>
      </c>
      <c r="B660" s="89" t="s">
        <v>5149</v>
      </c>
    </row>
    <row r="661" spans="1:2" ht="15">
      <c r="A661" s="90" t="s">
        <v>5086</v>
      </c>
      <c r="B661" s="89" t="s">
        <v>5149</v>
      </c>
    </row>
    <row r="662" spans="1:2" ht="15">
      <c r="A662" s="90" t="s">
        <v>5087</v>
      </c>
      <c r="B662" s="89" t="s">
        <v>5149</v>
      </c>
    </row>
    <row r="663" spans="1:2" ht="15">
      <c r="A663" s="90" t="s">
        <v>5088</v>
      </c>
      <c r="B663" s="89" t="s">
        <v>5149</v>
      </c>
    </row>
    <row r="664" spans="1:2" ht="15">
      <c r="A664" s="90" t="s">
        <v>5089</v>
      </c>
      <c r="B664" s="89" t="s">
        <v>5149</v>
      </c>
    </row>
    <row r="665" spans="1:2" ht="15">
      <c r="A665" s="90" t="s">
        <v>5090</v>
      </c>
      <c r="B665" s="89" t="s">
        <v>5149</v>
      </c>
    </row>
    <row r="666" spans="1:2" ht="15">
      <c r="A666" s="90" t="s">
        <v>5091</v>
      </c>
      <c r="B666" s="89" t="s">
        <v>5149</v>
      </c>
    </row>
    <row r="667" spans="1:2" ht="15">
      <c r="A667" s="90" t="s">
        <v>5092</v>
      </c>
      <c r="B667" s="89" t="s">
        <v>5149</v>
      </c>
    </row>
    <row r="668" spans="1:2" ht="15">
      <c r="A668" s="90" t="s">
        <v>4135</v>
      </c>
      <c r="B668" s="89" t="s">
        <v>5149</v>
      </c>
    </row>
    <row r="669" spans="1:2" ht="15">
      <c r="A669" s="90" t="s">
        <v>5093</v>
      </c>
      <c r="B669" s="89" t="s">
        <v>5149</v>
      </c>
    </row>
    <row r="670" spans="1:2" ht="15">
      <c r="A670" s="90" t="s">
        <v>4479</v>
      </c>
      <c r="B670" s="89" t="s">
        <v>5149</v>
      </c>
    </row>
    <row r="671" spans="1:2" ht="15">
      <c r="A671" s="90" t="s">
        <v>5094</v>
      </c>
      <c r="B671" s="89" t="s">
        <v>5149</v>
      </c>
    </row>
    <row r="672" spans="1:2" ht="15">
      <c r="A672" s="90" t="s">
        <v>5095</v>
      </c>
      <c r="B672" s="89" t="s">
        <v>5149</v>
      </c>
    </row>
    <row r="673" spans="1:2" ht="15">
      <c r="A673" s="90" t="s">
        <v>3759</v>
      </c>
      <c r="B673" s="89" t="s">
        <v>5149</v>
      </c>
    </row>
    <row r="674" spans="1:2" ht="15">
      <c r="A674" s="90" t="s">
        <v>3816</v>
      </c>
      <c r="B674" s="89" t="s">
        <v>5149</v>
      </c>
    </row>
    <row r="675" spans="1:2" ht="15">
      <c r="A675" s="90" t="s">
        <v>5096</v>
      </c>
      <c r="B675" s="89" t="s">
        <v>5149</v>
      </c>
    </row>
    <row r="676" spans="1:2" ht="15">
      <c r="A676" s="90" t="s">
        <v>5097</v>
      </c>
      <c r="B676" s="89" t="s">
        <v>5149</v>
      </c>
    </row>
    <row r="677" spans="1:2" ht="15">
      <c r="A677" s="90" t="s">
        <v>4462</v>
      </c>
      <c r="B677" s="89" t="s">
        <v>5149</v>
      </c>
    </row>
    <row r="678" spans="1:2" ht="15">
      <c r="A678" s="90" t="s">
        <v>3296</v>
      </c>
      <c r="B678" s="89" t="s">
        <v>5149</v>
      </c>
    </row>
    <row r="679" spans="1:2" ht="15">
      <c r="A679" s="90" t="s">
        <v>3783</v>
      </c>
      <c r="B679" s="89" t="s">
        <v>5149</v>
      </c>
    </row>
    <row r="680" spans="1:2" ht="15">
      <c r="A680" s="90" t="s">
        <v>3624</v>
      </c>
      <c r="B680" s="89" t="s">
        <v>5149</v>
      </c>
    </row>
    <row r="681" spans="1:2" ht="15">
      <c r="A681" s="90" t="s">
        <v>5098</v>
      </c>
      <c r="B681" s="89" t="s">
        <v>5149</v>
      </c>
    </row>
    <row r="682" spans="1:2" ht="15">
      <c r="A682" s="90" t="s">
        <v>3817</v>
      </c>
      <c r="B682" s="89" t="s">
        <v>5149</v>
      </c>
    </row>
    <row r="683" spans="1:2" ht="15">
      <c r="A683" s="90" t="s">
        <v>5099</v>
      </c>
      <c r="B683" s="89" t="s">
        <v>5149</v>
      </c>
    </row>
    <row r="684" spans="1:2" ht="15">
      <c r="A684" s="90" t="s">
        <v>3255</v>
      </c>
      <c r="B684" s="89" t="s">
        <v>5149</v>
      </c>
    </row>
    <row r="685" spans="1:2" ht="15">
      <c r="A685" s="90" t="s">
        <v>5100</v>
      </c>
      <c r="B685" s="89" t="s">
        <v>5149</v>
      </c>
    </row>
    <row r="686" spans="1:2" ht="15">
      <c r="A686" s="90" t="s">
        <v>4195</v>
      </c>
      <c r="B686" s="89" t="s">
        <v>5149</v>
      </c>
    </row>
    <row r="687" spans="1:2" ht="15">
      <c r="A687" s="90" t="s">
        <v>5101</v>
      </c>
      <c r="B687" s="89" t="s">
        <v>5149</v>
      </c>
    </row>
    <row r="688" spans="1:2" ht="15">
      <c r="A688" s="90" t="s">
        <v>5102</v>
      </c>
      <c r="B688" s="89" t="s">
        <v>5149</v>
      </c>
    </row>
    <row r="689" spans="1:2" ht="15">
      <c r="A689" s="90" t="s">
        <v>5103</v>
      </c>
      <c r="B689" s="89" t="s">
        <v>5149</v>
      </c>
    </row>
    <row r="690" spans="1:2" ht="15">
      <c r="A690" s="90" t="s">
        <v>5104</v>
      </c>
      <c r="B690" s="89" t="s">
        <v>5149</v>
      </c>
    </row>
    <row r="691" spans="1:2" ht="15">
      <c r="A691" s="90" t="s">
        <v>5105</v>
      </c>
      <c r="B691" s="89" t="s">
        <v>5149</v>
      </c>
    </row>
    <row r="692" spans="1:2" ht="15">
      <c r="A692" s="90" t="s">
        <v>5106</v>
      </c>
      <c r="B692" s="89" t="s">
        <v>5149</v>
      </c>
    </row>
    <row r="693" spans="1:2" ht="15">
      <c r="A693" s="90" t="s">
        <v>5107</v>
      </c>
      <c r="B693" s="89" t="s">
        <v>5149</v>
      </c>
    </row>
    <row r="694" spans="1:2" ht="15">
      <c r="A694" s="90" t="s">
        <v>3305</v>
      </c>
      <c r="B694" s="89" t="s">
        <v>5149</v>
      </c>
    </row>
    <row r="695" spans="1:2" ht="15">
      <c r="A695" s="90" t="s">
        <v>3149</v>
      </c>
      <c r="B695" s="89" t="s">
        <v>5149</v>
      </c>
    </row>
    <row r="696" spans="1:2" ht="15">
      <c r="A696" s="90" t="s">
        <v>3489</v>
      </c>
      <c r="B696" s="89" t="s">
        <v>5149</v>
      </c>
    </row>
    <row r="697" spans="1:2" ht="15">
      <c r="A697" s="90" t="s">
        <v>4248</v>
      </c>
      <c r="B697" s="89" t="s">
        <v>5149</v>
      </c>
    </row>
    <row r="698" spans="1:2" ht="15">
      <c r="A698" s="90" t="s">
        <v>5108</v>
      </c>
      <c r="B698" s="89" t="s">
        <v>5149</v>
      </c>
    </row>
    <row r="699" spans="1:2" ht="15">
      <c r="A699" s="90" t="s">
        <v>5109</v>
      </c>
      <c r="B699" s="89" t="s">
        <v>5149</v>
      </c>
    </row>
    <row r="700" spans="1:2" ht="15">
      <c r="A700" s="90" t="s">
        <v>4432</v>
      </c>
      <c r="B700" s="89" t="s">
        <v>5149</v>
      </c>
    </row>
    <row r="701" spans="1:2" ht="15">
      <c r="A701" s="90" t="s">
        <v>3256</v>
      </c>
      <c r="B701" s="89" t="s">
        <v>5149</v>
      </c>
    </row>
    <row r="702" spans="1:2" ht="15">
      <c r="A702" s="90" t="s">
        <v>3385</v>
      </c>
      <c r="B702" s="89" t="s">
        <v>5149</v>
      </c>
    </row>
    <row r="703" spans="1:2" ht="15">
      <c r="A703" s="90" t="s">
        <v>5110</v>
      </c>
      <c r="B703" s="89" t="s">
        <v>5149</v>
      </c>
    </row>
    <row r="704" spans="1:2" ht="15">
      <c r="A704" s="90" t="s">
        <v>4411</v>
      </c>
      <c r="B704" s="89" t="s">
        <v>5149</v>
      </c>
    </row>
    <row r="705" spans="1:2" ht="15">
      <c r="A705" s="90" t="s">
        <v>3979</v>
      </c>
      <c r="B705" s="89" t="s">
        <v>5149</v>
      </c>
    </row>
    <row r="706" spans="1:2" ht="15">
      <c r="A706" s="90" t="s">
        <v>5111</v>
      </c>
      <c r="B706" s="89" t="s">
        <v>5149</v>
      </c>
    </row>
    <row r="707" spans="1:2" ht="15">
      <c r="A707" s="90" t="s">
        <v>5112</v>
      </c>
      <c r="B707" s="89" t="s">
        <v>5149</v>
      </c>
    </row>
    <row r="708" spans="1:2" ht="15">
      <c r="A708" s="90" t="s">
        <v>5113</v>
      </c>
      <c r="B708" s="89" t="s">
        <v>5149</v>
      </c>
    </row>
    <row r="709" spans="1:2" ht="15">
      <c r="A709" s="90" t="s">
        <v>5114</v>
      </c>
      <c r="B709" s="89" t="s">
        <v>5149</v>
      </c>
    </row>
    <row r="710" spans="1:2" ht="15">
      <c r="A710" s="90" t="s">
        <v>5115</v>
      </c>
      <c r="B710" s="89" t="s">
        <v>5149</v>
      </c>
    </row>
    <row r="711" spans="1:2" ht="15">
      <c r="A711" s="90" t="s">
        <v>5116</v>
      </c>
      <c r="B711" s="89" t="s">
        <v>5149</v>
      </c>
    </row>
    <row r="712" spans="1:2" ht="15">
      <c r="A712" s="90" t="s">
        <v>5117</v>
      </c>
      <c r="B712" s="89" t="s">
        <v>5149</v>
      </c>
    </row>
    <row r="713" spans="1:2" ht="15">
      <c r="A713" s="90" t="s">
        <v>5118</v>
      </c>
      <c r="B713" s="89" t="s">
        <v>5149</v>
      </c>
    </row>
    <row r="714" spans="1:2" ht="15">
      <c r="A714" s="90" t="s">
        <v>3368</v>
      </c>
      <c r="B714" s="89" t="s">
        <v>5149</v>
      </c>
    </row>
    <row r="715" spans="1:2" ht="15">
      <c r="A715" s="90" t="s">
        <v>3207</v>
      </c>
      <c r="B715" s="89" t="s">
        <v>5149</v>
      </c>
    </row>
    <row r="716" spans="1:2" ht="15">
      <c r="A716" s="90" t="s">
        <v>5119</v>
      </c>
      <c r="B716" s="89" t="s">
        <v>5149</v>
      </c>
    </row>
    <row r="717" spans="1:2" ht="15">
      <c r="A717" s="90" t="s">
        <v>5120</v>
      </c>
      <c r="B717" s="89" t="s">
        <v>5149</v>
      </c>
    </row>
    <row r="718" spans="1:2" ht="15">
      <c r="A718" s="90" t="s">
        <v>4598</v>
      </c>
      <c r="B718" s="89" t="s">
        <v>5149</v>
      </c>
    </row>
    <row r="719" spans="1:2" ht="15">
      <c r="A719" s="90" t="s">
        <v>5121</v>
      </c>
      <c r="B719" s="89" t="s">
        <v>5149</v>
      </c>
    </row>
    <row r="720" spans="1:2" ht="15">
      <c r="A720" s="90" t="s">
        <v>5122</v>
      </c>
      <c r="B720" s="89" t="s">
        <v>5149</v>
      </c>
    </row>
    <row r="721" spans="1:2" ht="15">
      <c r="A721" s="90" t="s">
        <v>4316</v>
      </c>
      <c r="B721" s="89" t="s">
        <v>5149</v>
      </c>
    </row>
    <row r="722" spans="1:2" ht="15">
      <c r="A722" s="90" t="s">
        <v>3259</v>
      </c>
      <c r="B722" s="89" t="s">
        <v>5149</v>
      </c>
    </row>
    <row r="723" spans="1:2" ht="15">
      <c r="A723" s="90" t="s">
        <v>4540</v>
      </c>
      <c r="B723" s="89" t="s">
        <v>5149</v>
      </c>
    </row>
    <row r="724" spans="1:2" ht="15">
      <c r="A724" s="90" t="s">
        <v>4302</v>
      </c>
      <c r="B724" s="89" t="s">
        <v>5149</v>
      </c>
    </row>
    <row r="725" spans="1:2" ht="15">
      <c r="A725" s="90" t="s">
        <v>5123</v>
      </c>
      <c r="B725" s="89" t="s">
        <v>5149</v>
      </c>
    </row>
    <row r="726" spans="1:2" ht="15">
      <c r="A726" s="90" t="s">
        <v>5124</v>
      </c>
      <c r="B726" s="89" t="s">
        <v>5149</v>
      </c>
    </row>
    <row r="727" spans="1:2" ht="15">
      <c r="A727" s="90" t="s">
        <v>3874</v>
      </c>
      <c r="B727" s="89" t="s">
        <v>5149</v>
      </c>
    </row>
    <row r="728" spans="1:2" ht="15">
      <c r="A728" s="90" t="s">
        <v>5125</v>
      </c>
      <c r="B728" s="89" t="s">
        <v>5149</v>
      </c>
    </row>
    <row r="729" spans="1:2" ht="15">
      <c r="A729" s="90" t="s">
        <v>5126</v>
      </c>
      <c r="B729" s="89" t="s">
        <v>5149</v>
      </c>
    </row>
    <row r="730" spans="1:2" ht="15">
      <c r="A730" s="90" t="s">
        <v>5127</v>
      </c>
      <c r="B730" s="89" t="s">
        <v>5149</v>
      </c>
    </row>
    <row r="731" spans="1:2" ht="15">
      <c r="A731" s="90" t="s">
        <v>5128</v>
      </c>
      <c r="B731" s="89" t="s">
        <v>5149</v>
      </c>
    </row>
    <row r="732" spans="1:2" ht="15">
      <c r="A732" s="90" t="s">
        <v>3818</v>
      </c>
      <c r="B732" s="89" t="s">
        <v>5149</v>
      </c>
    </row>
    <row r="733" spans="1:2" ht="15">
      <c r="A733" s="90" t="s">
        <v>5129</v>
      </c>
      <c r="B733" s="89" t="s">
        <v>5149</v>
      </c>
    </row>
    <row r="734" spans="1:2" ht="15">
      <c r="A734" s="90" t="s">
        <v>5130</v>
      </c>
      <c r="B734" s="89" t="s">
        <v>5149</v>
      </c>
    </row>
    <row r="735" spans="1:2" ht="15">
      <c r="A735" s="90" t="s">
        <v>5131</v>
      </c>
      <c r="B735" s="89" t="s">
        <v>5149</v>
      </c>
    </row>
    <row r="736" spans="1:2" ht="15">
      <c r="A736" s="90" t="s">
        <v>4251</v>
      </c>
      <c r="B736" s="89" t="s">
        <v>5149</v>
      </c>
    </row>
    <row r="737" spans="1:2" ht="15">
      <c r="A737" s="90" t="s">
        <v>5132</v>
      </c>
      <c r="B737" s="89" t="s">
        <v>5149</v>
      </c>
    </row>
    <row r="738" spans="1:2" ht="15">
      <c r="A738" s="90" t="s">
        <v>5133</v>
      </c>
      <c r="B738" s="89" t="s">
        <v>5149</v>
      </c>
    </row>
    <row r="739" spans="1:2" ht="15">
      <c r="A739" s="90" t="s">
        <v>5134</v>
      </c>
      <c r="B739" s="89" t="s">
        <v>5149</v>
      </c>
    </row>
    <row r="740" spans="1:2" ht="15">
      <c r="A740" s="90" t="s">
        <v>5135</v>
      </c>
      <c r="B740" s="89" t="s">
        <v>5149</v>
      </c>
    </row>
    <row r="741" spans="1:2" ht="15">
      <c r="A741" s="90" t="s">
        <v>3630</v>
      </c>
      <c r="B741" s="89" t="s">
        <v>5149</v>
      </c>
    </row>
    <row r="742" spans="1:2" ht="15">
      <c r="A742" s="90" t="s">
        <v>4095</v>
      </c>
      <c r="B742" s="89" t="s">
        <v>5149</v>
      </c>
    </row>
    <row r="743" spans="1:2" ht="15">
      <c r="A743" s="90" t="s">
        <v>5136</v>
      </c>
      <c r="B743" s="89" t="s">
        <v>5149</v>
      </c>
    </row>
    <row r="744" spans="1:2" ht="15">
      <c r="A744" s="90" t="s">
        <v>5137</v>
      </c>
      <c r="B744" s="89" t="s">
        <v>5149</v>
      </c>
    </row>
    <row r="745" spans="1:2" ht="15">
      <c r="A745" s="90" t="s">
        <v>5138</v>
      </c>
      <c r="B745" s="89" t="s">
        <v>5149</v>
      </c>
    </row>
    <row r="746" spans="1:2" ht="15">
      <c r="A746" s="90" t="s">
        <v>5139</v>
      </c>
      <c r="B746" s="89" t="s">
        <v>5149</v>
      </c>
    </row>
    <row r="747" spans="1:2" ht="15">
      <c r="A747" s="90" t="s">
        <v>5140</v>
      </c>
      <c r="B747" s="89" t="s">
        <v>5149</v>
      </c>
    </row>
    <row r="748" spans="1:2" ht="15">
      <c r="A748" s="90" t="s">
        <v>3670</v>
      </c>
      <c r="B748" s="89" t="s">
        <v>5149</v>
      </c>
    </row>
    <row r="749" spans="1:2" ht="15">
      <c r="A749" s="90" t="s">
        <v>5141</v>
      </c>
      <c r="B749" s="89" t="s">
        <v>5150</v>
      </c>
    </row>
    <row r="750" spans="1:2" ht="15">
      <c r="A750" s="90" t="s">
        <v>5142</v>
      </c>
      <c r="B750" s="89" t="s">
        <v>5150</v>
      </c>
    </row>
    <row r="751" spans="1:2" ht="15">
      <c r="A751" s="90" t="s">
        <v>5143</v>
      </c>
      <c r="B751" s="89" t="s">
        <v>5151</v>
      </c>
    </row>
    <row r="752" spans="1:2" ht="15">
      <c r="A752" s="90" t="s">
        <v>2735</v>
      </c>
      <c r="B752" s="89" t="s">
        <v>5151</v>
      </c>
    </row>
    <row r="753" spans="1:2" ht="15">
      <c r="A753" s="90" t="s">
        <v>5144</v>
      </c>
      <c r="B753" s="89" t="s">
        <v>5151</v>
      </c>
    </row>
    <row r="754" spans="1:2" ht="15">
      <c r="A754" s="90" t="s">
        <v>5145</v>
      </c>
      <c r="B754" s="89" t="s">
        <v>5152</v>
      </c>
    </row>
    <row r="755" spans="1:2" ht="15">
      <c r="A755" s="90" t="s">
        <v>5146</v>
      </c>
      <c r="B755" s="89" t="s">
        <v>5152</v>
      </c>
    </row>
    <row r="756" spans="1:2" ht="15">
      <c r="A756" s="90" t="s">
        <v>5147</v>
      </c>
      <c r="B756" s="89" t="s">
        <v>5152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C908-B4C7-4CD5-BFB8-18C31599FC2F}">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5153</v>
      </c>
      <c r="B2" s="121" t="s">
        <v>5154</v>
      </c>
      <c r="C2" s="54" t="s">
        <v>5155</v>
      </c>
    </row>
    <row r="3" spans="1:3" ht="15">
      <c r="A3" s="120" t="s">
        <v>2607</v>
      </c>
      <c r="B3" s="120" t="s">
        <v>2607</v>
      </c>
      <c r="C3" s="35">
        <v>82</v>
      </c>
    </row>
    <row r="4" spans="1:3" ht="15">
      <c r="A4" s="120" t="s">
        <v>2607</v>
      </c>
      <c r="B4" s="120" t="s">
        <v>2608</v>
      </c>
      <c r="C4" s="35">
        <v>3</v>
      </c>
    </row>
    <row r="5" spans="1:3" ht="15">
      <c r="A5" s="120" t="s">
        <v>2607</v>
      </c>
      <c r="B5" s="120" t="s">
        <v>2609</v>
      </c>
      <c r="C5" s="35">
        <v>3</v>
      </c>
    </row>
    <row r="6" spans="1:3" ht="15">
      <c r="A6" s="120" t="s">
        <v>2607</v>
      </c>
      <c r="B6" s="120" t="s">
        <v>2614</v>
      </c>
      <c r="C6" s="35">
        <v>1</v>
      </c>
    </row>
    <row r="7" spans="1:3" ht="15">
      <c r="A7" s="120" t="s">
        <v>2607</v>
      </c>
      <c r="B7" s="120" t="s">
        <v>2615</v>
      </c>
      <c r="C7" s="35">
        <v>1</v>
      </c>
    </row>
    <row r="8" spans="1:3" ht="15">
      <c r="A8" s="120" t="s">
        <v>2607</v>
      </c>
      <c r="B8" s="120" t="s">
        <v>2624</v>
      </c>
      <c r="C8" s="35">
        <v>1</v>
      </c>
    </row>
    <row r="9" spans="1:3" ht="15">
      <c r="A9" s="120" t="s">
        <v>2608</v>
      </c>
      <c r="B9" s="120" t="s">
        <v>2607</v>
      </c>
      <c r="C9" s="35">
        <v>1</v>
      </c>
    </row>
    <row r="10" spans="1:3" ht="15">
      <c r="A10" s="120" t="s">
        <v>2608</v>
      </c>
      <c r="B10" s="120" t="s">
        <v>2608</v>
      </c>
      <c r="C10" s="35">
        <v>88</v>
      </c>
    </row>
    <row r="11" spans="1:3" ht="15">
      <c r="A11" s="120" t="s">
        <v>2608</v>
      </c>
      <c r="B11" s="120" t="s">
        <v>2611</v>
      </c>
      <c r="C11" s="35">
        <v>3</v>
      </c>
    </row>
    <row r="12" spans="1:3" ht="15">
      <c r="A12" s="120" t="s">
        <v>2608</v>
      </c>
      <c r="B12" s="120" t="s">
        <v>2616</v>
      </c>
      <c r="C12" s="35">
        <v>2</v>
      </c>
    </row>
    <row r="13" spans="1:3" ht="15">
      <c r="A13" s="120" t="s">
        <v>2609</v>
      </c>
      <c r="B13" s="120" t="s">
        <v>2607</v>
      </c>
      <c r="C13" s="35">
        <v>3</v>
      </c>
    </row>
    <row r="14" spans="1:3" ht="15">
      <c r="A14" s="120" t="s">
        <v>2609</v>
      </c>
      <c r="B14" s="120" t="s">
        <v>2609</v>
      </c>
      <c r="C14" s="35">
        <v>94</v>
      </c>
    </row>
    <row r="15" spans="1:3" ht="15">
      <c r="A15" s="120" t="s">
        <v>2609</v>
      </c>
      <c r="B15" s="120" t="s">
        <v>2612</v>
      </c>
      <c r="C15" s="35">
        <v>5</v>
      </c>
    </row>
    <row r="16" spans="1:3" ht="15">
      <c r="A16" s="120" t="s">
        <v>2609</v>
      </c>
      <c r="B16" s="120" t="s">
        <v>2613</v>
      </c>
      <c r="C16" s="35">
        <v>2</v>
      </c>
    </row>
    <row r="17" spans="1:3" ht="15">
      <c r="A17" s="120" t="s">
        <v>2610</v>
      </c>
      <c r="B17" s="120" t="s">
        <v>2607</v>
      </c>
      <c r="C17" s="35">
        <v>1</v>
      </c>
    </row>
    <row r="18" spans="1:3" ht="15">
      <c r="A18" s="120" t="s">
        <v>2610</v>
      </c>
      <c r="B18" s="120" t="s">
        <v>2609</v>
      </c>
      <c r="C18" s="35">
        <v>2</v>
      </c>
    </row>
    <row r="19" spans="1:3" ht="15">
      <c r="A19" s="120" t="s">
        <v>2610</v>
      </c>
      <c r="B19" s="120" t="s">
        <v>2610</v>
      </c>
      <c r="C19" s="35">
        <v>46</v>
      </c>
    </row>
    <row r="20" spans="1:3" ht="15">
      <c r="A20" s="120" t="s">
        <v>2610</v>
      </c>
      <c r="B20" s="120" t="s">
        <v>2611</v>
      </c>
      <c r="C20" s="35">
        <v>1</v>
      </c>
    </row>
    <row r="21" spans="1:3" ht="15">
      <c r="A21" s="120" t="s">
        <v>2611</v>
      </c>
      <c r="B21" s="120" t="s">
        <v>2607</v>
      </c>
      <c r="C21" s="35">
        <v>1</v>
      </c>
    </row>
    <row r="22" spans="1:3" ht="15">
      <c r="A22" s="120" t="s">
        <v>2611</v>
      </c>
      <c r="B22" s="120" t="s">
        <v>2609</v>
      </c>
      <c r="C22" s="35">
        <v>3</v>
      </c>
    </row>
    <row r="23" spans="1:3" ht="15">
      <c r="A23" s="120" t="s">
        <v>2611</v>
      </c>
      <c r="B23" s="120" t="s">
        <v>2611</v>
      </c>
      <c r="C23" s="35">
        <v>53</v>
      </c>
    </row>
    <row r="24" spans="1:3" ht="15">
      <c r="A24" s="120" t="s">
        <v>2612</v>
      </c>
      <c r="B24" s="120" t="s">
        <v>2607</v>
      </c>
      <c r="C24" s="35">
        <v>2</v>
      </c>
    </row>
    <row r="25" spans="1:3" ht="15">
      <c r="A25" s="120" t="s">
        <v>2612</v>
      </c>
      <c r="B25" s="120" t="s">
        <v>2609</v>
      </c>
      <c r="C25" s="35">
        <v>2</v>
      </c>
    </row>
    <row r="26" spans="1:3" ht="15">
      <c r="A26" s="120" t="s">
        <v>2612</v>
      </c>
      <c r="B26" s="120" t="s">
        <v>2612</v>
      </c>
      <c r="C26" s="35">
        <v>23</v>
      </c>
    </row>
    <row r="27" spans="1:3" ht="15">
      <c r="A27" s="120" t="s">
        <v>2612</v>
      </c>
      <c r="B27" s="120" t="s">
        <v>2614</v>
      </c>
      <c r="C27" s="35">
        <v>1</v>
      </c>
    </row>
    <row r="28" spans="1:3" ht="15">
      <c r="A28" s="120" t="s">
        <v>2613</v>
      </c>
      <c r="B28" s="120" t="s">
        <v>2607</v>
      </c>
      <c r="C28" s="35">
        <v>1</v>
      </c>
    </row>
    <row r="29" spans="1:3" ht="15">
      <c r="A29" s="120" t="s">
        <v>2613</v>
      </c>
      <c r="B29" s="120" t="s">
        <v>2613</v>
      </c>
      <c r="C29" s="35">
        <v>17</v>
      </c>
    </row>
    <row r="30" spans="1:3" ht="15">
      <c r="A30" s="120" t="s">
        <v>2614</v>
      </c>
      <c r="B30" s="120" t="s">
        <v>2614</v>
      </c>
      <c r="C30" s="35">
        <v>18</v>
      </c>
    </row>
    <row r="31" spans="1:3" ht="15">
      <c r="A31" s="120" t="s">
        <v>2615</v>
      </c>
      <c r="B31" s="120" t="s">
        <v>2609</v>
      </c>
      <c r="C31" s="35">
        <v>3</v>
      </c>
    </row>
    <row r="32" spans="1:3" ht="15">
      <c r="A32" s="120" t="s">
        <v>2615</v>
      </c>
      <c r="B32" s="120" t="s">
        <v>2615</v>
      </c>
      <c r="C32" s="35">
        <v>26</v>
      </c>
    </row>
    <row r="33" spans="1:3" ht="15">
      <c r="A33" s="120" t="s">
        <v>2616</v>
      </c>
      <c r="B33" s="120" t="s">
        <v>2616</v>
      </c>
      <c r="C33" s="35">
        <v>8</v>
      </c>
    </row>
    <row r="34" spans="1:3" ht="15">
      <c r="A34" s="120" t="s">
        <v>2617</v>
      </c>
      <c r="B34" s="120" t="s">
        <v>2617</v>
      </c>
      <c r="C34" s="35">
        <v>4</v>
      </c>
    </row>
    <row r="35" spans="1:3" ht="15">
      <c r="A35" s="120" t="s">
        <v>2618</v>
      </c>
      <c r="B35" s="120" t="s">
        <v>2618</v>
      </c>
      <c r="C35" s="35">
        <v>4</v>
      </c>
    </row>
    <row r="36" spans="1:3" ht="15">
      <c r="A36" s="120" t="s">
        <v>2619</v>
      </c>
      <c r="B36" s="120" t="s">
        <v>2619</v>
      </c>
      <c r="C36" s="35">
        <v>3</v>
      </c>
    </row>
    <row r="37" spans="1:3" ht="15">
      <c r="A37" s="120" t="s">
        <v>2620</v>
      </c>
      <c r="B37" s="120" t="s">
        <v>2620</v>
      </c>
      <c r="C37" s="35">
        <v>4</v>
      </c>
    </row>
    <row r="38" spans="1:3" ht="15">
      <c r="A38" s="120" t="s">
        <v>2621</v>
      </c>
      <c r="B38" s="120" t="s">
        <v>2621</v>
      </c>
      <c r="C38" s="35">
        <v>3</v>
      </c>
    </row>
    <row r="39" spans="1:3" ht="15">
      <c r="A39" s="120" t="s">
        <v>2622</v>
      </c>
      <c r="B39" s="120" t="s">
        <v>2622</v>
      </c>
      <c r="C39" s="35">
        <v>5</v>
      </c>
    </row>
    <row r="40" spans="1:3" ht="15">
      <c r="A40" s="120" t="s">
        <v>2623</v>
      </c>
      <c r="B40" s="120" t="s">
        <v>2623</v>
      </c>
      <c r="C40" s="35">
        <v>2</v>
      </c>
    </row>
    <row r="41" spans="1:3" ht="15">
      <c r="A41" s="120" t="s">
        <v>2624</v>
      </c>
      <c r="B41" s="120" t="s">
        <v>2624</v>
      </c>
      <c r="C41" s="35">
        <v>3</v>
      </c>
    </row>
    <row r="42" spans="1:3" ht="15">
      <c r="A42" s="120" t="s">
        <v>2625</v>
      </c>
      <c r="B42" s="120" t="s">
        <v>2625</v>
      </c>
      <c r="C42" s="35">
        <v>2</v>
      </c>
    </row>
    <row r="43" spans="1:3" ht="15">
      <c r="A43" s="120" t="s">
        <v>2626</v>
      </c>
      <c r="B43" s="120" t="s">
        <v>2626</v>
      </c>
      <c r="C43" s="35">
        <v>2</v>
      </c>
    </row>
    <row r="44" spans="1:3" ht="15">
      <c r="A44" s="120" t="s">
        <v>2627</v>
      </c>
      <c r="B44" s="120" t="s">
        <v>2627</v>
      </c>
      <c r="C44" s="35">
        <v>1</v>
      </c>
    </row>
    <row r="45" spans="1:3" ht="15">
      <c r="A45" s="120" t="s">
        <v>2628</v>
      </c>
      <c r="B45" s="120" t="s">
        <v>2628</v>
      </c>
      <c r="C45" s="35">
        <v>1</v>
      </c>
    </row>
    <row r="46" spans="1:3" ht="15">
      <c r="A46" s="120" t="s">
        <v>2629</v>
      </c>
      <c r="B46" s="120" t="s">
        <v>2629</v>
      </c>
      <c r="C46" s="35">
        <v>1</v>
      </c>
    </row>
    <row r="47" spans="1:3" ht="15">
      <c r="A47" s="120" t="s">
        <v>2630</v>
      </c>
      <c r="B47" s="120" t="s">
        <v>2630</v>
      </c>
      <c r="C47" s="35">
        <v>1</v>
      </c>
    </row>
    <row r="48" spans="1:3" ht="15">
      <c r="A48" s="120" t="s">
        <v>2631</v>
      </c>
      <c r="B48" s="120" t="s">
        <v>2631</v>
      </c>
      <c r="C48" s="35">
        <v>2</v>
      </c>
    </row>
    <row r="49" spans="1:3" ht="15">
      <c r="A49" s="120" t="s">
        <v>2632</v>
      </c>
      <c r="B49" s="120" t="s">
        <v>2632</v>
      </c>
      <c r="C49" s="35">
        <v>1</v>
      </c>
    </row>
    <row r="50" spans="1:3" ht="15">
      <c r="A50" s="120" t="s">
        <v>2633</v>
      </c>
      <c r="B50" s="120" t="s">
        <v>2633</v>
      </c>
      <c r="C50" s="35">
        <v>1</v>
      </c>
    </row>
    <row r="51" spans="1:3" ht="15">
      <c r="A51" s="120" t="s">
        <v>2634</v>
      </c>
      <c r="B51" s="120" t="s">
        <v>2634</v>
      </c>
      <c r="C5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B60B1-DE99-45CC-9FCF-6E95649959A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5175</v>
      </c>
      <c r="B1" s="13" t="s">
        <v>17</v>
      </c>
    </row>
    <row r="2" spans="1:2" ht="15">
      <c r="A2" s="89" t="s">
        <v>5176</v>
      </c>
      <c r="B2" s="89" t="s">
        <v>5182</v>
      </c>
    </row>
    <row r="3" spans="1:2" ht="15">
      <c r="A3" s="90" t="s">
        <v>5177</v>
      </c>
      <c r="B3" s="89" t="s">
        <v>5183</v>
      </c>
    </row>
    <row r="4" spans="1:2" ht="15">
      <c r="A4" s="90" t="s">
        <v>5178</v>
      </c>
      <c r="B4" s="89" t="s">
        <v>5184</v>
      </c>
    </row>
    <row r="5" spans="1:2" ht="15">
      <c r="A5" s="90" t="s">
        <v>5179</v>
      </c>
      <c r="B5" s="89" t="s">
        <v>5183</v>
      </c>
    </row>
    <row r="6" spans="1:2" ht="15">
      <c r="A6" s="90" t="s">
        <v>5180</v>
      </c>
      <c r="B6" s="89" t="s">
        <v>5185</v>
      </c>
    </row>
    <row r="7" spans="1:2" ht="15">
      <c r="A7" s="90" t="s">
        <v>5181</v>
      </c>
      <c r="B7" s="89" t="s">
        <v>5183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B69D-9AA6-466E-8328-CAC27C0010F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5186</v>
      </c>
      <c r="B1" s="13" t="s">
        <v>32</v>
      </c>
    </row>
    <row r="2" spans="1:2" ht="15">
      <c r="A2" s="113" t="s">
        <v>458</v>
      </c>
      <c r="B2" s="89">
        <v>21</v>
      </c>
    </row>
    <row r="3" spans="1:2" ht="15">
      <c r="A3" s="116" t="s">
        <v>459</v>
      </c>
      <c r="B3" s="89">
        <v>21</v>
      </c>
    </row>
    <row r="4" spans="1:2" ht="15">
      <c r="A4" s="116" t="s">
        <v>349</v>
      </c>
      <c r="B4" s="89">
        <v>20</v>
      </c>
    </row>
    <row r="5" spans="1:2" ht="15">
      <c r="A5" s="116" t="s">
        <v>374</v>
      </c>
      <c r="B5" s="89">
        <v>19</v>
      </c>
    </row>
    <row r="6" spans="1:2" ht="15">
      <c r="A6" s="116" t="s">
        <v>431</v>
      </c>
      <c r="B6" s="89">
        <v>18</v>
      </c>
    </row>
    <row r="7" spans="1:2" ht="15">
      <c r="A7" s="116" t="s">
        <v>430</v>
      </c>
      <c r="B7" s="89">
        <v>18</v>
      </c>
    </row>
    <row r="8" spans="1:2" ht="15">
      <c r="A8" s="116" t="s">
        <v>368</v>
      </c>
      <c r="B8" s="89">
        <v>17</v>
      </c>
    </row>
    <row r="9" spans="1:2" ht="15">
      <c r="A9" s="116" t="s">
        <v>432</v>
      </c>
      <c r="B9" s="89">
        <v>13</v>
      </c>
    </row>
    <row r="10" spans="1:2" ht="15">
      <c r="A10" s="116" t="s">
        <v>338</v>
      </c>
      <c r="B10" s="89">
        <v>12</v>
      </c>
    </row>
    <row r="11" spans="1:2" ht="15">
      <c r="A11" s="116" t="s">
        <v>372</v>
      </c>
      <c r="B11" s="89">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A8B8-8196-4DA9-87B9-642101AF60BF}">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5187</v>
      </c>
      <c r="B1" s="13" t="s">
        <v>5198</v>
      </c>
      <c r="C1" s="13" t="s">
        <v>5199</v>
      </c>
      <c r="D1" s="13" t="s">
        <v>5205</v>
      </c>
      <c r="E1" s="13" t="s">
        <v>5204</v>
      </c>
      <c r="F1" s="13" t="s">
        <v>5212</v>
      </c>
      <c r="G1" s="13" t="s">
        <v>5211</v>
      </c>
      <c r="H1" s="13" t="s">
        <v>5215</v>
      </c>
      <c r="I1" s="13" t="s">
        <v>5214</v>
      </c>
      <c r="J1" s="13" t="s">
        <v>5217</v>
      </c>
      <c r="K1" s="13" t="s">
        <v>5216</v>
      </c>
      <c r="L1" s="13" t="s">
        <v>5221</v>
      </c>
      <c r="M1" s="13" t="s">
        <v>5220</v>
      </c>
      <c r="N1" s="13" t="s">
        <v>5223</v>
      </c>
      <c r="O1" s="89" t="s">
        <v>5222</v>
      </c>
      <c r="P1" s="89" t="s">
        <v>5225</v>
      </c>
      <c r="Q1" s="13" t="s">
        <v>5224</v>
      </c>
      <c r="R1" s="13" t="s">
        <v>5229</v>
      </c>
      <c r="S1" s="89" t="s">
        <v>5228</v>
      </c>
      <c r="T1" s="89" t="s">
        <v>5231</v>
      </c>
      <c r="U1" s="13" t="s">
        <v>5230</v>
      </c>
      <c r="V1" s="13" t="s">
        <v>5234</v>
      </c>
    </row>
    <row r="2" spans="1:22" ht="15">
      <c r="A2" s="95" t="s">
        <v>5188</v>
      </c>
      <c r="B2" s="89">
        <v>14</v>
      </c>
      <c r="C2" s="95" t="s">
        <v>5188</v>
      </c>
      <c r="D2" s="89">
        <v>8</v>
      </c>
      <c r="E2" s="95" t="s">
        <v>5194</v>
      </c>
      <c r="F2" s="89">
        <v>3</v>
      </c>
      <c r="G2" s="95" t="s">
        <v>5188</v>
      </c>
      <c r="H2" s="89">
        <v>3</v>
      </c>
      <c r="I2" s="95" t="s">
        <v>5188</v>
      </c>
      <c r="J2" s="89">
        <v>1</v>
      </c>
      <c r="K2" s="95" t="s">
        <v>5218</v>
      </c>
      <c r="L2" s="89">
        <v>1</v>
      </c>
      <c r="M2" s="95" t="s">
        <v>5188</v>
      </c>
      <c r="N2" s="89">
        <v>1</v>
      </c>
      <c r="O2" s="89"/>
      <c r="P2" s="89"/>
      <c r="Q2" s="95" t="s">
        <v>5226</v>
      </c>
      <c r="R2" s="89">
        <v>1</v>
      </c>
      <c r="S2" s="89"/>
      <c r="T2" s="89"/>
      <c r="U2" s="95" t="s">
        <v>5232</v>
      </c>
      <c r="V2" s="89">
        <v>1</v>
      </c>
    </row>
    <row r="3" spans="1:22" ht="15">
      <c r="A3" s="96" t="s">
        <v>5189</v>
      </c>
      <c r="B3" s="89">
        <v>8</v>
      </c>
      <c r="C3" s="95" t="s">
        <v>5189</v>
      </c>
      <c r="D3" s="89">
        <v>8</v>
      </c>
      <c r="E3" s="95" t="s">
        <v>5195</v>
      </c>
      <c r="F3" s="89">
        <v>3</v>
      </c>
      <c r="G3" s="95" t="s">
        <v>5196</v>
      </c>
      <c r="H3" s="89">
        <v>2</v>
      </c>
      <c r="I3" s="89"/>
      <c r="J3" s="89"/>
      <c r="K3" s="95" t="s">
        <v>5188</v>
      </c>
      <c r="L3" s="89">
        <v>1</v>
      </c>
      <c r="M3" s="89"/>
      <c r="N3" s="89"/>
      <c r="O3" s="89"/>
      <c r="P3" s="89"/>
      <c r="Q3" s="95" t="s">
        <v>5227</v>
      </c>
      <c r="R3" s="89">
        <v>1</v>
      </c>
      <c r="S3" s="89"/>
      <c r="T3" s="89"/>
      <c r="U3" s="95" t="s">
        <v>5233</v>
      </c>
      <c r="V3" s="89">
        <v>1</v>
      </c>
    </row>
    <row r="4" spans="1:22" ht="15">
      <c r="A4" s="96" t="s">
        <v>5190</v>
      </c>
      <c r="B4" s="89">
        <v>5</v>
      </c>
      <c r="C4" s="95" t="s">
        <v>5190</v>
      </c>
      <c r="D4" s="89">
        <v>5</v>
      </c>
      <c r="E4" s="95" t="s">
        <v>5206</v>
      </c>
      <c r="F4" s="89">
        <v>1</v>
      </c>
      <c r="G4" s="95" t="s">
        <v>5213</v>
      </c>
      <c r="H4" s="89">
        <v>1</v>
      </c>
      <c r="I4" s="89"/>
      <c r="J4" s="89"/>
      <c r="K4" s="95" t="s">
        <v>5219</v>
      </c>
      <c r="L4" s="89">
        <v>1</v>
      </c>
      <c r="M4" s="89"/>
      <c r="N4" s="89"/>
      <c r="O4" s="89"/>
      <c r="P4" s="89"/>
      <c r="Q4" s="89"/>
      <c r="R4" s="89"/>
      <c r="S4" s="89"/>
      <c r="T4" s="89"/>
      <c r="U4" s="89"/>
      <c r="V4" s="89"/>
    </row>
    <row r="5" spans="1:22" ht="15">
      <c r="A5" s="96" t="s">
        <v>5191</v>
      </c>
      <c r="B5" s="89">
        <v>3</v>
      </c>
      <c r="C5" s="95" t="s">
        <v>5192</v>
      </c>
      <c r="D5" s="89">
        <v>3</v>
      </c>
      <c r="E5" s="95" t="s">
        <v>5207</v>
      </c>
      <c r="F5" s="89">
        <v>1</v>
      </c>
      <c r="G5" s="95" t="s">
        <v>686</v>
      </c>
      <c r="H5" s="89">
        <v>1</v>
      </c>
      <c r="I5" s="89"/>
      <c r="J5" s="89"/>
      <c r="K5" s="89"/>
      <c r="L5" s="89"/>
      <c r="M5" s="89"/>
      <c r="N5" s="89"/>
      <c r="O5" s="89"/>
      <c r="P5" s="89"/>
      <c r="Q5" s="89"/>
      <c r="R5" s="89"/>
      <c r="S5" s="89"/>
      <c r="T5" s="89"/>
      <c r="U5" s="89"/>
      <c r="V5" s="89"/>
    </row>
    <row r="6" spans="1:22" ht="15">
      <c r="A6" s="96" t="s">
        <v>5192</v>
      </c>
      <c r="B6" s="89">
        <v>3</v>
      </c>
      <c r="C6" s="95" t="s">
        <v>5193</v>
      </c>
      <c r="D6" s="89">
        <v>3</v>
      </c>
      <c r="E6" s="95" t="s">
        <v>5191</v>
      </c>
      <c r="F6" s="89">
        <v>1</v>
      </c>
      <c r="G6" s="89"/>
      <c r="H6" s="89"/>
      <c r="I6" s="89"/>
      <c r="J6" s="89"/>
      <c r="K6" s="89"/>
      <c r="L6" s="89"/>
      <c r="M6" s="89"/>
      <c r="N6" s="89"/>
      <c r="O6" s="89"/>
      <c r="P6" s="89"/>
      <c r="Q6" s="89"/>
      <c r="R6" s="89"/>
      <c r="S6" s="89"/>
      <c r="T6" s="89"/>
      <c r="U6" s="89"/>
      <c r="V6" s="89"/>
    </row>
    <row r="7" spans="1:22" ht="15">
      <c r="A7" s="96" t="s">
        <v>5193</v>
      </c>
      <c r="B7" s="89">
        <v>3</v>
      </c>
      <c r="C7" s="95" t="s">
        <v>5197</v>
      </c>
      <c r="D7" s="89">
        <v>2</v>
      </c>
      <c r="E7" s="95" t="s">
        <v>5208</v>
      </c>
      <c r="F7" s="89">
        <v>1</v>
      </c>
      <c r="G7" s="89"/>
      <c r="H7" s="89"/>
      <c r="I7" s="89"/>
      <c r="J7" s="89"/>
      <c r="K7" s="89"/>
      <c r="L7" s="89"/>
      <c r="M7" s="89"/>
      <c r="N7" s="89"/>
      <c r="O7" s="89"/>
      <c r="P7" s="89"/>
      <c r="Q7" s="89"/>
      <c r="R7" s="89"/>
      <c r="S7" s="89"/>
      <c r="T7" s="89"/>
      <c r="U7" s="89"/>
      <c r="V7" s="89"/>
    </row>
    <row r="8" spans="1:22" ht="15">
      <c r="A8" s="96" t="s">
        <v>5194</v>
      </c>
      <c r="B8" s="89">
        <v>3</v>
      </c>
      <c r="C8" s="95" t="s">
        <v>5200</v>
      </c>
      <c r="D8" s="89">
        <v>1</v>
      </c>
      <c r="E8" s="95" t="s">
        <v>5209</v>
      </c>
      <c r="F8" s="89">
        <v>1</v>
      </c>
      <c r="G8" s="89"/>
      <c r="H8" s="89"/>
      <c r="I8" s="89"/>
      <c r="J8" s="89"/>
      <c r="K8" s="89"/>
      <c r="L8" s="89"/>
      <c r="M8" s="89"/>
      <c r="N8" s="89"/>
      <c r="O8" s="89"/>
      <c r="P8" s="89"/>
      <c r="Q8" s="89"/>
      <c r="R8" s="89"/>
      <c r="S8" s="89"/>
      <c r="T8" s="89"/>
      <c r="U8" s="89"/>
      <c r="V8" s="89"/>
    </row>
    <row r="9" spans="1:22" ht="15">
      <c r="A9" s="96" t="s">
        <v>5195</v>
      </c>
      <c r="B9" s="89">
        <v>3</v>
      </c>
      <c r="C9" s="95" t="s">
        <v>5201</v>
      </c>
      <c r="D9" s="89">
        <v>1</v>
      </c>
      <c r="E9" s="95" t="s">
        <v>5210</v>
      </c>
      <c r="F9" s="89">
        <v>1</v>
      </c>
      <c r="G9" s="89"/>
      <c r="H9" s="89"/>
      <c r="I9" s="89"/>
      <c r="J9" s="89"/>
      <c r="K9" s="89"/>
      <c r="L9" s="89"/>
      <c r="M9" s="89"/>
      <c r="N9" s="89"/>
      <c r="O9" s="89"/>
      <c r="P9" s="89"/>
      <c r="Q9" s="89"/>
      <c r="R9" s="89"/>
      <c r="S9" s="89"/>
      <c r="T9" s="89"/>
      <c r="U9" s="89"/>
      <c r="V9" s="89"/>
    </row>
    <row r="10" spans="1:22" ht="15">
      <c r="A10" s="96" t="s">
        <v>5196</v>
      </c>
      <c r="B10" s="89">
        <v>2</v>
      </c>
      <c r="C10" s="95" t="s">
        <v>5202</v>
      </c>
      <c r="D10" s="89">
        <v>1</v>
      </c>
      <c r="E10" s="89"/>
      <c r="F10" s="89"/>
      <c r="G10" s="89"/>
      <c r="H10" s="89"/>
      <c r="I10" s="89"/>
      <c r="J10" s="89"/>
      <c r="K10" s="89"/>
      <c r="L10" s="89"/>
      <c r="M10" s="89"/>
      <c r="N10" s="89"/>
      <c r="O10" s="89"/>
      <c r="P10" s="89"/>
      <c r="Q10" s="89"/>
      <c r="R10" s="89"/>
      <c r="S10" s="89"/>
      <c r="T10" s="89"/>
      <c r="U10" s="89"/>
      <c r="V10" s="89"/>
    </row>
    <row r="11" spans="1:22" ht="15">
      <c r="A11" s="96" t="s">
        <v>5197</v>
      </c>
      <c r="B11" s="89">
        <v>2</v>
      </c>
      <c r="C11" s="95" t="s">
        <v>5203</v>
      </c>
      <c r="D11" s="89">
        <v>1</v>
      </c>
      <c r="E11" s="89"/>
      <c r="F11" s="89"/>
      <c r="G11" s="89"/>
      <c r="H11" s="89"/>
      <c r="I11" s="89"/>
      <c r="J11" s="89"/>
      <c r="K11" s="89"/>
      <c r="L11" s="89"/>
      <c r="M11" s="89"/>
      <c r="N11" s="89"/>
      <c r="O11" s="89"/>
      <c r="P11" s="89"/>
      <c r="Q11" s="89"/>
      <c r="R11" s="89"/>
      <c r="S11" s="89"/>
      <c r="T11" s="89"/>
      <c r="U11" s="89"/>
      <c r="V11" s="89"/>
    </row>
    <row r="14" spans="1:22" ht="14.4" customHeight="1">
      <c r="A14" s="13" t="s">
        <v>5245</v>
      </c>
      <c r="B14" s="13" t="s">
        <v>5198</v>
      </c>
      <c r="C14" s="13" t="s">
        <v>5247</v>
      </c>
      <c r="D14" s="13" t="s">
        <v>5205</v>
      </c>
      <c r="E14" s="13" t="s">
        <v>5250</v>
      </c>
      <c r="F14" s="13" t="s">
        <v>5212</v>
      </c>
      <c r="G14" s="13" t="s">
        <v>5251</v>
      </c>
      <c r="H14" s="13" t="s">
        <v>5215</v>
      </c>
      <c r="I14" s="13" t="s">
        <v>5252</v>
      </c>
      <c r="J14" s="13" t="s">
        <v>5217</v>
      </c>
      <c r="K14" s="13" t="s">
        <v>5253</v>
      </c>
      <c r="L14" s="13" t="s">
        <v>5221</v>
      </c>
      <c r="M14" s="13" t="s">
        <v>5254</v>
      </c>
      <c r="N14" s="13" t="s">
        <v>5223</v>
      </c>
      <c r="O14" s="89" t="s">
        <v>5255</v>
      </c>
      <c r="P14" s="89" t="s">
        <v>5225</v>
      </c>
      <c r="Q14" s="13" t="s">
        <v>5256</v>
      </c>
      <c r="R14" s="13" t="s">
        <v>5229</v>
      </c>
      <c r="S14" s="89" t="s">
        <v>5257</v>
      </c>
      <c r="T14" s="89" t="s">
        <v>5231</v>
      </c>
      <c r="U14" s="13" t="s">
        <v>5258</v>
      </c>
      <c r="V14" s="13" t="s">
        <v>5234</v>
      </c>
    </row>
    <row r="15" spans="1:22" ht="15">
      <c r="A15" s="89" t="s">
        <v>693</v>
      </c>
      <c r="B15" s="89">
        <v>30</v>
      </c>
      <c r="C15" s="89" t="s">
        <v>693</v>
      </c>
      <c r="D15" s="89">
        <v>20</v>
      </c>
      <c r="E15" s="89" t="s">
        <v>700</v>
      </c>
      <c r="F15" s="89">
        <v>3</v>
      </c>
      <c r="G15" s="89" t="s">
        <v>693</v>
      </c>
      <c r="H15" s="89">
        <v>3</v>
      </c>
      <c r="I15" s="89" t="s">
        <v>693</v>
      </c>
      <c r="J15" s="89">
        <v>1</v>
      </c>
      <c r="K15" s="89" t="s">
        <v>709</v>
      </c>
      <c r="L15" s="89">
        <v>1</v>
      </c>
      <c r="M15" s="89" t="s">
        <v>693</v>
      </c>
      <c r="N15" s="89">
        <v>1</v>
      </c>
      <c r="O15" s="89"/>
      <c r="P15" s="89"/>
      <c r="Q15" s="89" t="s">
        <v>694</v>
      </c>
      <c r="R15" s="89">
        <v>1</v>
      </c>
      <c r="S15" s="89"/>
      <c r="T15" s="89"/>
      <c r="U15" s="89" t="s">
        <v>5246</v>
      </c>
      <c r="V15" s="89">
        <v>2</v>
      </c>
    </row>
    <row r="16" spans="1:22" ht="15">
      <c r="A16" s="90" t="s">
        <v>689</v>
      </c>
      <c r="B16" s="89">
        <v>5</v>
      </c>
      <c r="C16" s="89" t="s">
        <v>689</v>
      </c>
      <c r="D16" s="89">
        <v>5</v>
      </c>
      <c r="E16" s="89" t="s">
        <v>696</v>
      </c>
      <c r="F16" s="89">
        <v>3</v>
      </c>
      <c r="G16" s="89" t="s">
        <v>710</v>
      </c>
      <c r="H16" s="89">
        <v>2</v>
      </c>
      <c r="I16" s="89"/>
      <c r="J16" s="89"/>
      <c r="K16" s="89" t="s">
        <v>693</v>
      </c>
      <c r="L16" s="89">
        <v>1</v>
      </c>
      <c r="M16" s="89"/>
      <c r="N16" s="89"/>
      <c r="O16" s="89"/>
      <c r="P16" s="89"/>
      <c r="Q16" s="89" t="s">
        <v>693</v>
      </c>
      <c r="R16" s="89">
        <v>1</v>
      </c>
      <c r="S16" s="89"/>
      <c r="T16" s="89"/>
      <c r="U16" s="89"/>
      <c r="V16" s="89"/>
    </row>
    <row r="17" spans="1:22" ht="15">
      <c r="A17" s="90" t="s">
        <v>691</v>
      </c>
      <c r="B17" s="89">
        <v>3</v>
      </c>
      <c r="C17" s="89" t="s">
        <v>692</v>
      </c>
      <c r="D17" s="89">
        <v>3</v>
      </c>
      <c r="E17" s="89" t="s">
        <v>708</v>
      </c>
      <c r="F17" s="89">
        <v>1</v>
      </c>
      <c r="G17" s="89" t="s">
        <v>708</v>
      </c>
      <c r="H17" s="89">
        <v>1</v>
      </c>
      <c r="I17" s="89"/>
      <c r="J17" s="89"/>
      <c r="K17" s="89" t="s">
        <v>707</v>
      </c>
      <c r="L17" s="89">
        <v>1</v>
      </c>
      <c r="M17" s="89"/>
      <c r="N17" s="89"/>
      <c r="O17" s="89"/>
      <c r="P17" s="89"/>
      <c r="Q17" s="89"/>
      <c r="R17" s="89"/>
      <c r="S17" s="89"/>
      <c r="T17" s="89"/>
      <c r="U17" s="89"/>
      <c r="V17" s="89"/>
    </row>
    <row r="18" spans="1:22" ht="15">
      <c r="A18" s="90" t="s">
        <v>692</v>
      </c>
      <c r="B18" s="89">
        <v>3</v>
      </c>
      <c r="C18" s="89" t="s">
        <v>697</v>
      </c>
      <c r="D18" s="89">
        <v>2</v>
      </c>
      <c r="E18" s="89" t="s">
        <v>703</v>
      </c>
      <c r="F18" s="89">
        <v>1</v>
      </c>
      <c r="G18" s="89" t="s">
        <v>705</v>
      </c>
      <c r="H18" s="89">
        <v>1</v>
      </c>
      <c r="I18" s="89"/>
      <c r="J18" s="89"/>
      <c r="K18" s="89"/>
      <c r="L18" s="89"/>
      <c r="M18" s="89"/>
      <c r="N18" s="89"/>
      <c r="O18" s="89"/>
      <c r="P18" s="89"/>
      <c r="Q18" s="89"/>
      <c r="R18" s="89"/>
      <c r="S18" s="89"/>
      <c r="T18" s="89"/>
      <c r="U18" s="89"/>
      <c r="V18" s="89"/>
    </row>
    <row r="19" spans="1:22" ht="15">
      <c r="A19" s="90" t="s">
        <v>700</v>
      </c>
      <c r="B19" s="89">
        <v>3</v>
      </c>
      <c r="C19" s="89" t="s">
        <v>706</v>
      </c>
      <c r="D19" s="89">
        <v>1</v>
      </c>
      <c r="E19" s="89" t="s">
        <v>691</v>
      </c>
      <c r="F19" s="89">
        <v>1</v>
      </c>
      <c r="G19" s="89"/>
      <c r="H19" s="89"/>
      <c r="I19" s="89"/>
      <c r="J19" s="89"/>
      <c r="K19" s="89"/>
      <c r="L19" s="89"/>
      <c r="M19" s="89"/>
      <c r="N19" s="89"/>
      <c r="O19" s="89"/>
      <c r="P19" s="89"/>
      <c r="Q19" s="89"/>
      <c r="R19" s="89"/>
      <c r="S19" s="89"/>
      <c r="T19" s="89"/>
      <c r="U19" s="89"/>
      <c r="V19" s="89"/>
    </row>
    <row r="20" spans="1:22" ht="15">
      <c r="A20" s="90" t="s">
        <v>696</v>
      </c>
      <c r="B20" s="89">
        <v>3</v>
      </c>
      <c r="C20" s="89" t="s">
        <v>701</v>
      </c>
      <c r="D20" s="89">
        <v>1</v>
      </c>
      <c r="E20" s="89" t="s">
        <v>693</v>
      </c>
      <c r="F20" s="89">
        <v>1</v>
      </c>
      <c r="G20" s="89"/>
      <c r="H20" s="89"/>
      <c r="I20" s="89"/>
      <c r="J20" s="89"/>
      <c r="K20" s="89"/>
      <c r="L20" s="89"/>
      <c r="M20" s="89"/>
      <c r="N20" s="89"/>
      <c r="O20" s="89"/>
      <c r="P20" s="89"/>
      <c r="Q20" s="89"/>
      <c r="R20" s="89"/>
      <c r="S20" s="89"/>
      <c r="T20" s="89"/>
      <c r="U20" s="89"/>
      <c r="V20" s="89"/>
    </row>
    <row r="21" spans="1:22" ht="15">
      <c r="A21" s="90" t="s">
        <v>708</v>
      </c>
      <c r="B21" s="89">
        <v>2</v>
      </c>
      <c r="C21" s="89" t="s">
        <v>5248</v>
      </c>
      <c r="D21" s="89">
        <v>1</v>
      </c>
      <c r="E21" s="89" t="s">
        <v>699</v>
      </c>
      <c r="F21" s="89">
        <v>1</v>
      </c>
      <c r="G21" s="89"/>
      <c r="H21" s="89"/>
      <c r="I21" s="89"/>
      <c r="J21" s="89"/>
      <c r="K21" s="89"/>
      <c r="L21" s="89"/>
      <c r="M21" s="89"/>
      <c r="N21" s="89"/>
      <c r="O21" s="89"/>
      <c r="P21" s="89"/>
      <c r="Q21" s="89"/>
      <c r="R21" s="89"/>
      <c r="S21" s="89"/>
      <c r="T21" s="89"/>
      <c r="U21" s="89"/>
      <c r="V21" s="89"/>
    </row>
    <row r="22" spans="1:22" ht="15">
      <c r="A22" s="90" t="s">
        <v>5246</v>
      </c>
      <c r="B22" s="89">
        <v>2</v>
      </c>
      <c r="C22" s="89" t="s">
        <v>5249</v>
      </c>
      <c r="D22" s="89">
        <v>1</v>
      </c>
      <c r="E22" s="89" t="s">
        <v>698</v>
      </c>
      <c r="F22" s="89">
        <v>1</v>
      </c>
      <c r="G22" s="89"/>
      <c r="H22" s="89"/>
      <c r="I22" s="89"/>
      <c r="J22" s="89"/>
      <c r="K22" s="89"/>
      <c r="L22" s="89"/>
      <c r="M22" s="89"/>
      <c r="N22" s="89"/>
      <c r="O22" s="89"/>
      <c r="P22" s="89"/>
      <c r="Q22" s="89"/>
      <c r="R22" s="89"/>
      <c r="S22" s="89"/>
      <c r="T22" s="89"/>
      <c r="U22" s="89"/>
      <c r="V22" s="89"/>
    </row>
    <row r="23" spans="1:22" ht="15">
      <c r="A23" s="90" t="s">
        <v>710</v>
      </c>
      <c r="B23" s="89">
        <v>2</v>
      </c>
      <c r="C23" s="89"/>
      <c r="D23" s="89"/>
      <c r="E23" s="89"/>
      <c r="F23" s="89"/>
      <c r="G23" s="89"/>
      <c r="H23" s="89"/>
      <c r="I23" s="89"/>
      <c r="J23" s="89"/>
      <c r="K23" s="89"/>
      <c r="L23" s="89"/>
      <c r="M23" s="89"/>
      <c r="N23" s="89"/>
      <c r="O23" s="89"/>
      <c r="P23" s="89"/>
      <c r="Q23" s="89"/>
      <c r="R23" s="89"/>
      <c r="S23" s="89"/>
      <c r="T23" s="89"/>
      <c r="U23" s="89"/>
      <c r="V23" s="89"/>
    </row>
    <row r="24" spans="1:22" ht="15">
      <c r="A24" s="90" t="s">
        <v>697</v>
      </c>
      <c r="B24" s="89">
        <v>2</v>
      </c>
      <c r="C24" s="89"/>
      <c r="D24" s="89"/>
      <c r="E24" s="89"/>
      <c r="F24" s="89"/>
      <c r="G24" s="89"/>
      <c r="H24" s="89"/>
      <c r="I24" s="89"/>
      <c r="J24" s="89"/>
      <c r="K24" s="89"/>
      <c r="L24" s="89"/>
      <c r="M24" s="89"/>
      <c r="N24" s="89"/>
      <c r="O24" s="89"/>
      <c r="P24" s="89"/>
      <c r="Q24" s="89"/>
      <c r="R24" s="89"/>
      <c r="S24" s="89"/>
      <c r="T24" s="89"/>
      <c r="U24" s="89"/>
      <c r="V24" s="89"/>
    </row>
    <row r="27" spans="1:22" ht="14.4" customHeight="1">
      <c r="A27" s="13" t="s">
        <v>5266</v>
      </c>
      <c r="B27" s="13" t="s">
        <v>5198</v>
      </c>
      <c r="C27" s="13" t="s">
        <v>5269</v>
      </c>
      <c r="D27" s="13" t="s">
        <v>5205</v>
      </c>
      <c r="E27" s="13" t="s">
        <v>5270</v>
      </c>
      <c r="F27" s="13" t="s">
        <v>5212</v>
      </c>
      <c r="G27" s="13" t="s">
        <v>5271</v>
      </c>
      <c r="H27" s="13" t="s">
        <v>5215</v>
      </c>
      <c r="I27" s="89" t="s">
        <v>5272</v>
      </c>
      <c r="J27" s="89" t="s">
        <v>5217</v>
      </c>
      <c r="K27" s="13" t="s">
        <v>5273</v>
      </c>
      <c r="L27" s="13" t="s">
        <v>5221</v>
      </c>
      <c r="M27" s="13" t="s">
        <v>5274</v>
      </c>
      <c r="N27" s="13" t="s">
        <v>5223</v>
      </c>
      <c r="O27" s="89" t="s">
        <v>5275</v>
      </c>
      <c r="P27" s="89" t="s">
        <v>5225</v>
      </c>
      <c r="Q27" s="89" t="s">
        <v>5276</v>
      </c>
      <c r="R27" s="89" t="s">
        <v>5229</v>
      </c>
      <c r="S27" s="13" t="s">
        <v>5277</v>
      </c>
      <c r="T27" s="13" t="s">
        <v>5231</v>
      </c>
      <c r="U27" s="89" t="s">
        <v>5278</v>
      </c>
      <c r="V27" s="89" t="s">
        <v>5234</v>
      </c>
    </row>
    <row r="28" spans="1:22" ht="15">
      <c r="A28" s="89" t="s">
        <v>712</v>
      </c>
      <c r="B28" s="89">
        <v>33</v>
      </c>
      <c r="C28" s="89" t="s">
        <v>712</v>
      </c>
      <c r="D28" s="89">
        <v>9</v>
      </c>
      <c r="E28" s="89" t="s">
        <v>712</v>
      </c>
      <c r="F28" s="89">
        <v>4</v>
      </c>
      <c r="G28" s="89" t="s">
        <v>712</v>
      </c>
      <c r="H28" s="89">
        <v>16</v>
      </c>
      <c r="I28" s="89"/>
      <c r="J28" s="89"/>
      <c r="K28" s="89" t="s">
        <v>226</v>
      </c>
      <c r="L28" s="89">
        <v>12</v>
      </c>
      <c r="M28" s="89" t="s">
        <v>717</v>
      </c>
      <c r="N28" s="89">
        <v>1</v>
      </c>
      <c r="O28" s="89"/>
      <c r="P28" s="89"/>
      <c r="Q28" s="89"/>
      <c r="R28" s="89"/>
      <c r="S28" s="89" t="s">
        <v>712</v>
      </c>
      <c r="T28" s="89">
        <v>1</v>
      </c>
      <c r="U28" s="89"/>
      <c r="V28" s="89"/>
    </row>
    <row r="29" spans="1:22" ht="15">
      <c r="A29" s="90" t="s">
        <v>226</v>
      </c>
      <c r="B29" s="89">
        <v>13</v>
      </c>
      <c r="C29" s="89" t="s">
        <v>4046</v>
      </c>
      <c r="D29" s="89">
        <v>1</v>
      </c>
      <c r="E29" s="89" t="s">
        <v>226</v>
      </c>
      <c r="F29" s="89">
        <v>1</v>
      </c>
      <c r="G29" s="89" t="s">
        <v>5268</v>
      </c>
      <c r="H29" s="89">
        <v>1</v>
      </c>
      <c r="I29" s="89"/>
      <c r="J29" s="89"/>
      <c r="K29" s="89" t="s">
        <v>712</v>
      </c>
      <c r="L29" s="89">
        <v>1</v>
      </c>
      <c r="M29" s="89"/>
      <c r="N29" s="89"/>
      <c r="O29" s="89"/>
      <c r="P29" s="89"/>
      <c r="Q29" s="89"/>
      <c r="R29" s="89"/>
      <c r="S29" s="89"/>
      <c r="T29" s="89"/>
      <c r="U29" s="89"/>
      <c r="V29" s="89"/>
    </row>
    <row r="30" spans="1:22" ht="15">
      <c r="A30" s="90" t="s">
        <v>2660</v>
      </c>
      <c r="B30" s="89">
        <v>2</v>
      </c>
      <c r="C30" s="89"/>
      <c r="D30" s="89"/>
      <c r="E30" s="89" t="s">
        <v>714</v>
      </c>
      <c r="F30" s="89">
        <v>1</v>
      </c>
      <c r="G30" s="89"/>
      <c r="H30" s="89"/>
      <c r="I30" s="89"/>
      <c r="J30" s="89"/>
      <c r="K30" s="89"/>
      <c r="L30" s="89"/>
      <c r="M30" s="89"/>
      <c r="N30" s="89"/>
      <c r="O30" s="89"/>
      <c r="P30" s="89"/>
      <c r="Q30" s="89"/>
      <c r="R30" s="89"/>
      <c r="S30" s="89"/>
      <c r="T30" s="89"/>
      <c r="U30" s="89"/>
      <c r="V30" s="89"/>
    </row>
    <row r="31" spans="1:22" ht="15">
      <c r="A31" s="90" t="s">
        <v>4624</v>
      </c>
      <c r="B31" s="89">
        <v>2</v>
      </c>
      <c r="C31" s="89"/>
      <c r="D31" s="89"/>
      <c r="E31" s="89" t="s">
        <v>3807</v>
      </c>
      <c r="F31" s="89">
        <v>1</v>
      </c>
      <c r="G31" s="89"/>
      <c r="H31" s="89"/>
      <c r="I31" s="89"/>
      <c r="J31" s="89"/>
      <c r="K31" s="89"/>
      <c r="L31" s="89"/>
      <c r="M31" s="89"/>
      <c r="N31" s="89"/>
      <c r="O31" s="89"/>
      <c r="P31" s="89"/>
      <c r="Q31" s="89"/>
      <c r="R31" s="89"/>
      <c r="S31" s="89"/>
      <c r="T31" s="89"/>
      <c r="U31" s="89"/>
      <c r="V31" s="89"/>
    </row>
    <row r="32" spans="1:22" ht="15">
      <c r="A32" s="90" t="s">
        <v>5267</v>
      </c>
      <c r="B32" s="89">
        <v>2</v>
      </c>
      <c r="C32" s="89"/>
      <c r="D32" s="89"/>
      <c r="E32" s="89" t="s">
        <v>3035</v>
      </c>
      <c r="F32" s="89">
        <v>1</v>
      </c>
      <c r="G32" s="89"/>
      <c r="H32" s="89"/>
      <c r="I32" s="89"/>
      <c r="J32" s="89"/>
      <c r="K32" s="89"/>
      <c r="L32" s="89"/>
      <c r="M32" s="89"/>
      <c r="N32" s="89"/>
      <c r="O32" s="89"/>
      <c r="P32" s="89"/>
      <c r="Q32" s="89"/>
      <c r="R32" s="89"/>
      <c r="S32" s="89"/>
      <c r="T32" s="89"/>
      <c r="U32" s="89"/>
      <c r="V32" s="89"/>
    </row>
    <row r="33" spans="1:22" ht="15">
      <c r="A33" s="90" t="s">
        <v>717</v>
      </c>
      <c r="B33" s="89">
        <v>1</v>
      </c>
      <c r="C33" s="89"/>
      <c r="D33" s="89"/>
      <c r="E33" s="89"/>
      <c r="F33" s="89"/>
      <c r="G33" s="89"/>
      <c r="H33" s="89"/>
      <c r="I33" s="89"/>
      <c r="J33" s="89"/>
      <c r="K33" s="89"/>
      <c r="L33" s="89"/>
      <c r="M33" s="89"/>
      <c r="N33" s="89"/>
      <c r="O33" s="89"/>
      <c r="P33" s="89"/>
      <c r="Q33" s="89"/>
      <c r="R33" s="89"/>
      <c r="S33" s="89"/>
      <c r="T33" s="89"/>
      <c r="U33" s="89"/>
      <c r="V33" s="89"/>
    </row>
    <row r="34" spans="1:22" ht="15">
      <c r="A34" s="90" t="s">
        <v>5268</v>
      </c>
      <c r="B34" s="89">
        <v>1</v>
      </c>
      <c r="C34" s="89"/>
      <c r="D34" s="89"/>
      <c r="E34" s="89"/>
      <c r="F34" s="89"/>
      <c r="G34" s="89"/>
      <c r="H34" s="89"/>
      <c r="I34" s="89"/>
      <c r="J34" s="89"/>
      <c r="K34" s="89"/>
      <c r="L34" s="89"/>
      <c r="M34" s="89"/>
      <c r="N34" s="89"/>
      <c r="O34" s="89"/>
      <c r="P34" s="89"/>
      <c r="Q34" s="89"/>
      <c r="R34" s="89"/>
      <c r="S34" s="89"/>
      <c r="T34" s="89"/>
      <c r="U34" s="89"/>
      <c r="V34" s="89"/>
    </row>
    <row r="35" spans="1:22" ht="15">
      <c r="A35" s="90" t="s">
        <v>714</v>
      </c>
      <c r="B35" s="89">
        <v>1</v>
      </c>
      <c r="C35" s="89"/>
      <c r="D35" s="89"/>
      <c r="E35" s="89"/>
      <c r="F35" s="89"/>
      <c r="G35" s="89"/>
      <c r="H35" s="89"/>
      <c r="I35" s="89"/>
      <c r="J35" s="89"/>
      <c r="K35" s="89"/>
      <c r="L35" s="89"/>
      <c r="M35" s="89"/>
      <c r="N35" s="89"/>
      <c r="O35" s="89"/>
      <c r="P35" s="89"/>
      <c r="Q35" s="89"/>
      <c r="R35" s="89"/>
      <c r="S35" s="89"/>
      <c r="T35" s="89"/>
      <c r="U35" s="89"/>
      <c r="V35" s="89"/>
    </row>
    <row r="36" spans="1:22" ht="15">
      <c r="A36" s="90" t="s">
        <v>3807</v>
      </c>
      <c r="B36" s="89">
        <v>1</v>
      </c>
      <c r="C36" s="89"/>
      <c r="D36" s="89"/>
      <c r="E36" s="89"/>
      <c r="F36" s="89"/>
      <c r="G36" s="89"/>
      <c r="H36" s="89"/>
      <c r="I36" s="89"/>
      <c r="J36" s="89"/>
      <c r="K36" s="89"/>
      <c r="L36" s="89"/>
      <c r="M36" s="89"/>
      <c r="N36" s="89"/>
      <c r="O36" s="89"/>
      <c r="P36" s="89"/>
      <c r="Q36" s="89"/>
      <c r="R36" s="89"/>
      <c r="S36" s="89"/>
      <c r="T36" s="89"/>
      <c r="U36" s="89"/>
      <c r="V36" s="89"/>
    </row>
    <row r="37" spans="1:22" ht="15">
      <c r="A37" s="90" t="s">
        <v>3035</v>
      </c>
      <c r="B37" s="89">
        <v>1</v>
      </c>
      <c r="C37" s="89"/>
      <c r="D37" s="89"/>
      <c r="E37" s="89"/>
      <c r="F37" s="89"/>
      <c r="G37" s="89"/>
      <c r="H37" s="89"/>
      <c r="I37" s="89"/>
      <c r="J37" s="89"/>
      <c r="K37" s="89"/>
      <c r="L37" s="89"/>
      <c r="M37" s="89"/>
      <c r="N37" s="89"/>
      <c r="O37" s="89"/>
      <c r="P37" s="89"/>
      <c r="Q37" s="89"/>
      <c r="R37" s="89"/>
      <c r="S37" s="89"/>
      <c r="T37" s="89"/>
      <c r="U37" s="89"/>
      <c r="V37" s="89"/>
    </row>
    <row r="40" spans="1:22" ht="14.4" customHeight="1">
      <c r="A40" s="13" t="s">
        <v>5283</v>
      </c>
      <c r="B40" s="13" t="s">
        <v>5198</v>
      </c>
      <c r="C40" s="13" t="s">
        <v>5284</v>
      </c>
      <c r="D40" s="13" t="s">
        <v>5205</v>
      </c>
      <c r="E40" s="13" t="s">
        <v>5285</v>
      </c>
      <c r="F40" s="13" t="s">
        <v>5212</v>
      </c>
      <c r="G40" s="13" t="s">
        <v>5286</v>
      </c>
      <c r="H40" s="13" t="s">
        <v>5215</v>
      </c>
      <c r="I40" s="13" t="s">
        <v>5287</v>
      </c>
      <c r="J40" s="13" t="s">
        <v>5217</v>
      </c>
      <c r="K40" s="13" t="s">
        <v>5288</v>
      </c>
      <c r="L40" s="13" t="s">
        <v>5221</v>
      </c>
      <c r="M40" s="13" t="s">
        <v>5289</v>
      </c>
      <c r="N40" s="13" t="s">
        <v>5223</v>
      </c>
      <c r="O40" s="13" t="s">
        <v>5290</v>
      </c>
      <c r="P40" s="13" t="s">
        <v>5225</v>
      </c>
      <c r="Q40" s="13" t="s">
        <v>5291</v>
      </c>
      <c r="R40" s="13" t="s">
        <v>5229</v>
      </c>
      <c r="S40" s="13" t="s">
        <v>5292</v>
      </c>
      <c r="T40" s="13" t="s">
        <v>5231</v>
      </c>
      <c r="U40" s="13" t="s">
        <v>5293</v>
      </c>
      <c r="V40" s="13" t="s">
        <v>5234</v>
      </c>
    </row>
    <row r="41" spans="1:22" ht="15">
      <c r="A41" s="102" t="s">
        <v>712</v>
      </c>
      <c r="B41" s="102">
        <v>219</v>
      </c>
      <c r="C41" s="102" t="s">
        <v>712</v>
      </c>
      <c r="D41" s="102">
        <v>50</v>
      </c>
      <c r="E41" s="102" t="s">
        <v>712</v>
      </c>
      <c r="F41" s="102">
        <v>32</v>
      </c>
      <c r="G41" s="102" t="s">
        <v>712</v>
      </c>
      <c r="H41" s="102">
        <v>23</v>
      </c>
      <c r="I41" s="102" t="s">
        <v>712</v>
      </c>
      <c r="J41" s="102">
        <v>21</v>
      </c>
      <c r="K41" s="102" t="s">
        <v>712</v>
      </c>
      <c r="L41" s="102">
        <v>30</v>
      </c>
      <c r="M41" s="102" t="s">
        <v>712</v>
      </c>
      <c r="N41" s="102">
        <v>11</v>
      </c>
      <c r="O41" s="102" t="s">
        <v>712</v>
      </c>
      <c r="P41" s="102">
        <v>6</v>
      </c>
      <c r="Q41" s="102" t="s">
        <v>712</v>
      </c>
      <c r="R41" s="102">
        <v>6</v>
      </c>
      <c r="S41" s="102" t="s">
        <v>399</v>
      </c>
      <c r="T41" s="102">
        <v>6</v>
      </c>
      <c r="U41" s="102" t="s">
        <v>712</v>
      </c>
      <c r="V41" s="102">
        <v>6</v>
      </c>
    </row>
    <row r="42" spans="1:22" ht="15">
      <c r="A42" s="97" t="s">
        <v>2660</v>
      </c>
      <c r="B42" s="102">
        <v>42</v>
      </c>
      <c r="C42" s="102" t="s">
        <v>2666</v>
      </c>
      <c r="D42" s="102">
        <v>22</v>
      </c>
      <c r="E42" s="102" t="s">
        <v>459</v>
      </c>
      <c r="F42" s="102">
        <v>25</v>
      </c>
      <c r="G42" s="102" t="s">
        <v>2660</v>
      </c>
      <c r="H42" s="102">
        <v>18</v>
      </c>
      <c r="I42" s="102" t="s">
        <v>2704</v>
      </c>
      <c r="J42" s="102">
        <v>12</v>
      </c>
      <c r="K42" s="102" t="s">
        <v>2677</v>
      </c>
      <c r="L42" s="102">
        <v>16</v>
      </c>
      <c r="M42" s="102" t="s">
        <v>2661</v>
      </c>
      <c r="N42" s="102">
        <v>4</v>
      </c>
      <c r="O42" s="102" t="s">
        <v>388</v>
      </c>
      <c r="P42" s="102">
        <v>5</v>
      </c>
      <c r="Q42" s="102" t="s">
        <v>421</v>
      </c>
      <c r="R42" s="102">
        <v>3</v>
      </c>
      <c r="S42" s="102" t="s">
        <v>712</v>
      </c>
      <c r="T42" s="102">
        <v>6</v>
      </c>
      <c r="U42" s="102" t="s">
        <v>2752</v>
      </c>
      <c r="V42" s="102">
        <v>3</v>
      </c>
    </row>
    <row r="43" spans="1:22" ht="15">
      <c r="A43" s="97" t="s">
        <v>2661</v>
      </c>
      <c r="B43" s="102">
        <v>33</v>
      </c>
      <c r="C43" s="102" t="s">
        <v>2664</v>
      </c>
      <c r="D43" s="102">
        <v>22</v>
      </c>
      <c r="E43" s="102" t="s">
        <v>458</v>
      </c>
      <c r="F43" s="102">
        <v>25</v>
      </c>
      <c r="G43" s="102" t="s">
        <v>431</v>
      </c>
      <c r="H43" s="102">
        <v>18</v>
      </c>
      <c r="I43" s="102" t="s">
        <v>2661</v>
      </c>
      <c r="J43" s="102">
        <v>11</v>
      </c>
      <c r="K43" s="102" t="s">
        <v>2680</v>
      </c>
      <c r="L43" s="102">
        <v>15</v>
      </c>
      <c r="M43" s="102" t="s">
        <v>385</v>
      </c>
      <c r="N43" s="102">
        <v>4</v>
      </c>
      <c r="O43" s="102" t="s">
        <v>390</v>
      </c>
      <c r="P43" s="102">
        <v>3</v>
      </c>
      <c r="Q43" s="102" t="s">
        <v>422</v>
      </c>
      <c r="R43" s="102">
        <v>3</v>
      </c>
      <c r="S43" s="102" t="s">
        <v>397</v>
      </c>
      <c r="T43" s="102">
        <v>5</v>
      </c>
      <c r="U43" s="102" t="s">
        <v>2913</v>
      </c>
      <c r="V43" s="102">
        <v>3</v>
      </c>
    </row>
    <row r="44" spans="1:22" ht="15">
      <c r="A44" s="97" t="s">
        <v>2662</v>
      </c>
      <c r="B44" s="102">
        <v>33</v>
      </c>
      <c r="C44" s="102" t="s">
        <v>2667</v>
      </c>
      <c r="D44" s="102">
        <v>22</v>
      </c>
      <c r="E44" s="102" t="s">
        <v>372</v>
      </c>
      <c r="F44" s="102">
        <v>7</v>
      </c>
      <c r="G44" s="102" t="s">
        <v>430</v>
      </c>
      <c r="H44" s="102">
        <v>18</v>
      </c>
      <c r="I44" s="102" t="s">
        <v>2705</v>
      </c>
      <c r="J44" s="102">
        <v>9</v>
      </c>
      <c r="K44" s="102" t="s">
        <v>432</v>
      </c>
      <c r="L44" s="102">
        <v>12</v>
      </c>
      <c r="M44" s="102" t="s">
        <v>2734</v>
      </c>
      <c r="N44" s="102">
        <v>3</v>
      </c>
      <c r="O44" s="102" t="s">
        <v>393</v>
      </c>
      <c r="P44" s="102">
        <v>2</v>
      </c>
      <c r="Q44" s="102" t="s">
        <v>420</v>
      </c>
      <c r="R44" s="102">
        <v>3</v>
      </c>
      <c r="S44" s="102" t="s">
        <v>398</v>
      </c>
      <c r="T44" s="102">
        <v>4</v>
      </c>
      <c r="U44" s="102" t="s">
        <v>2914</v>
      </c>
      <c r="V44" s="102">
        <v>3</v>
      </c>
    </row>
    <row r="45" spans="1:22" ht="15">
      <c r="A45" s="97" t="s">
        <v>2663</v>
      </c>
      <c r="B45" s="102">
        <v>32</v>
      </c>
      <c r="C45" s="102" t="s">
        <v>2663</v>
      </c>
      <c r="D45" s="102">
        <v>22</v>
      </c>
      <c r="E45" s="102" t="s">
        <v>2707</v>
      </c>
      <c r="F45" s="102">
        <v>6</v>
      </c>
      <c r="G45" s="102" t="s">
        <v>2662</v>
      </c>
      <c r="H45" s="102">
        <v>16</v>
      </c>
      <c r="I45" s="102" t="s">
        <v>2712</v>
      </c>
      <c r="J45" s="102">
        <v>7</v>
      </c>
      <c r="K45" s="102" t="s">
        <v>2686</v>
      </c>
      <c r="L45" s="102">
        <v>12</v>
      </c>
      <c r="M45" s="102" t="s">
        <v>384</v>
      </c>
      <c r="N45" s="102">
        <v>2</v>
      </c>
      <c r="O45" s="102" t="s">
        <v>3062</v>
      </c>
      <c r="P45" s="102">
        <v>2</v>
      </c>
      <c r="Q45" s="102" t="s">
        <v>2732</v>
      </c>
      <c r="R45" s="102">
        <v>3</v>
      </c>
      <c r="S45" s="102" t="s">
        <v>396</v>
      </c>
      <c r="T45" s="102">
        <v>4</v>
      </c>
      <c r="U45" s="102" t="s">
        <v>2808</v>
      </c>
      <c r="V45" s="102">
        <v>3</v>
      </c>
    </row>
    <row r="46" spans="1:22" ht="15">
      <c r="A46" s="97" t="s">
        <v>2664</v>
      </c>
      <c r="B46" s="102">
        <v>29</v>
      </c>
      <c r="C46" s="102" t="s">
        <v>2668</v>
      </c>
      <c r="D46" s="102">
        <v>22</v>
      </c>
      <c r="E46" s="102" t="s">
        <v>2706</v>
      </c>
      <c r="F46" s="102">
        <v>6</v>
      </c>
      <c r="G46" s="102" t="s">
        <v>2675</v>
      </c>
      <c r="H46" s="102">
        <v>15</v>
      </c>
      <c r="I46" s="102" t="s">
        <v>2726</v>
      </c>
      <c r="J46" s="102">
        <v>7</v>
      </c>
      <c r="K46" s="102" t="s">
        <v>2687</v>
      </c>
      <c r="L46" s="102">
        <v>12</v>
      </c>
      <c r="M46" s="102" t="s">
        <v>2934</v>
      </c>
      <c r="N46" s="102">
        <v>2</v>
      </c>
      <c r="O46" s="102" t="s">
        <v>3063</v>
      </c>
      <c r="P46" s="102">
        <v>2</v>
      </c>
      <c r="Q46" s="102" t="s">
        <v>2713</v>
      </c>
      <c r="R46" s="102">
        <v>2</v>
      </c>
      <c r="S46" s="102" t="s">
        <v>271</v>
      </c>
      <c r="T46" s="102">
        <v>4</v>
      </c>
      <c r="U46" s="102" t="s">
        <v>2915</v>
      </c>
      <c r="V46" s="102">
        <v>3</v>
      </c>
    </row>
    <row r="47" spans="1:22" ht="15">
      <c r="A47" s="97" t="s">
        <v>2665</v>
      </c>
      <c r="B47" s="102">
        <v>28</v>
      </c>
      <c r="C47" s="102" t="s">
        <v>2665</v>
      </c>
      <c r="D47" s="102">
        <v>21</v>
      </c>
      <c r="E47" s="102" t="s">
        <v>2710</v>
      </c>
      <c r="F47" s="102">
        <v>5</v>
      </c>
      <c r="G47" s="102" t="s">
        <v>2678</v>
      </c>
      <c r="H47" s="102">
        <v>15</v>
      </c>
      <c r="I47" s="102" t="s">
        <v>2715</v>
      </c>
      <c r="J47" s="102">
        <v>7</v>
      </c>
      <c r="K47" s="102" t="s">
        <v>2688</v>
      </c>
      <c r="L47" s="102">
        <v>12</v>
      </c>
      <c r="M47" s="102" t="s">
        <v>2812</v>
      </c>
      <c r="N47" s="102">
        <v>2</v>
      </c>
      <c r="O47" s="102" t="s">
        <v>2674</v>
      </c>
      <c r="P47" s="102">
        <v>2</v>
      </c>
      <c r="Q47" s="102" t="s">
        <v>2779</v>
      </c>
      <c r="R47" s="102">
        <v>2</v>
      </c>
      <c r="S47" s="102" t="s">
        <v>2711</v>
      </c>
      <c r="T47" s="102">
        <v>3</v>
      </c>
      <c r="U47" s="102" t="s">
        <v>2916</v>
      </c>
      <c r="V47" s="102">
        <v>3</v>
      </c>
    </row>
    <row r="48" spans="1:22" ht="15">
      <c r="A48" s="97" t="s">
        <v>459</v>
      </c>
      <c r="B48" s="102">
        <v>26</v>
      </c>
      <c r="C48" s="102" t="s">
        <v>2669</v>
      </c>
      <c r="D48" s="102">
        <v>20</v>
      </c>
      <c r="E48" s="102" t="s">
        <v>2784</v>
      </c>
      <c r="F48" s="102">
        <v>4</v>
      </c>
      <c r="G48" s="102" t="s">
        <v>2676</v>
      </c>
      <c r="H48" s="102">
        <v>15</v>
      </c>
      <c r="I48" s="102" t="s">
        <v>2727</v>
      </c>
      <c r="J48" s="102">
        <v>7</v>
      </c>
      <c r="K48" s="102" t="s">
        <v>2689</v>
      </c>
      <c r="L48" s="102">
        <v>12</v>
      </c>
      <c r="M48" s="102" t="s">
        <v>2968</v>
      </c>
      <c r="N48" s="102">
        <v>2</v>
      </c>
      <c r="O48" s="102" t="s">
        <v>2866</v>
      </c>
      <c r="P48" s="102">
        <v>2</v>
      </c>
      <c r="Q48" s="102" t="s">
        <v>3051</v>
      </c>
      <c r="R48" s="102">
        <v>2</v>
      </c>
      <c r="S48" s="102" t="s">
        <v>2673</v>
      </c>
      <c r="T48" s="102">
        <v>2</v>
      </c>
      <c r="U48" s="102" t="s">
        <v>2740</v>
      </c>
      <c r="V48" s="102">
        <v>3</v>
      </c>
    </row>
    <row r="49" spans="1:22" ht="15">
      <c r="A49" s="97" t="s">
        <v>458</v>
      </c>
      <c r="B49" s="102">
        <v>26</v>
      </c>
      <c r="C49" s="102" t="s">
        <v>2670</v>
      </c>
      <c r="D49" s="102">
        <v>20</v>
      </c>
      <c r="E49" s="102" t="s">
        <v>2782</v>
      </c>
      <c r="F49" s="102">
        <v>4</v>
      </c>
      <c r="G49" s="102" t="s">
        <v>2679</v>
      </c>
      <c r="H49" s="102">
        <v>15</v>
      </c>
      <c r="I49" s="102" t="s">
        <v>2728</v>
      </c>
      <c r="J49" s="102">
        <v>7</v>
      </c>
      <c r="K49" s="102" t="s">
        <v>2690</v>
      </c>
      <c r="L49" s="102">
        <v>12</v>
      </c>
      <c r="M49" s="102" t="s">
        <v>450</v>
      </c>
      <c r="N49" s="102">
        <v>2</v>
      </c>
      <c r="O49" s="102" t="s">
        <v>2865</v>
      </c>
      <c r="P49" s="102">
        <v>2</v>
      </c>
      <c r="Q49" s="102" t="s">
        <v>2912</v>
      </c>
      <c r="R49" s="102">
        <v>2</v>
      </c>
      <c r="S49" s="102" t="s">
        <v>2949</v>
      </c>
      <c r="T49" s="102">
        <v>2</v>
      </c>
      <c r="U49" s="102" t="s">
        <v>2917</v>
      </c>
      <c r="V49" s="102">
        <v>3</v>
      </c>
    </row>
    <row r="50" spans="1:22" ht="15">
      <c r="A50" s="97" t="s">
        <v>2666</v>
      </c>
      <c r="B50" s="102">
        <v>24</v>
      </c>
      <c r="C50" s="102" t="s">
        <v>2671</v>
      </c>
      <c r="D50" s="102">
        <v>20</v>
      </c>
      <c r="E50" s="102" t="s">
        <v>2753</v>
      </c>
      <c r="F50" s="102">
        <v>4</v>
      </c>
      <c r="G50" s="102" t="s">
        <v>448</v>
      </c>
      <c r="H50" s="102">
        <v>7</v>
      </c>
      <c r="I50" s="102" t="s">
        <v>2663</v>
      </c>
      <c r="J50" s="102">
        <v>7</v>
      </c>
      <c r="K50" s="102" t="s">
        <v>2691</v>
      </c>
      <c r="L50" s="102">
        <v>12</v>
      </c>
      <c r="M50" s="102" t="s">
        <v>2970</v>
      </c>
      <c r="N50" s="102">
        <v>2</v>
      </c>
      <c r="O50" s="102" t="s">
        <v>3064</v>
      </c>
      <c r="P50" s="102">
        <v>2</v>
      </c>
      <c r="Q50" s="102" t="s">
        <v>2706</v>
      </c>
      <c r="R50" s="102">
        <v>2</v>
      </c>
      <c r="S50" s="102" t="s">
        <v>2950</v>
      </c>
      <c r="T50" s="102">
        <v>2</v>
      </c>
      <c r="U50" s="102" t="s">
        <v>2918</v>
      </c>
      <c r="V50" s="102">
        <v>3</v>
      </c>
    </row>
    <row r="53" spans="1:22" ht="14.4" customHeight="1">
      <c r="A53" s="13" t="s">
        <v>5312</v>
      </c>
      <c r="B53" s="13" t="s">
        <v>5198</v>
      </c>
      <c r="C53" s="13" t="s">
        <v>5323</v>
      </c>
      <c r="D53" s="13" t="s">
        <v>5205</v>
      </c>
      <c r="E53" s="13" t="s">
        <v>5325</v>
      </c>
      <c r="F53" s="13" t="s">
        <v>5212</v>
      </c>
      <c r="G53" s="13" t="s">
        <v>5336</v>
      </c>
      <c r="H53" s="13" t="s">
        <v>5215</v>
      </c>
      <c r="I53" s="13" t="s">
        <v>5346</v>
      </c>
      <c r="J53" s="13" t="s">
        <v>5217</v>
      </c>
      <c r="K53" s="13" t="s">
        <v>5356</v>
      </c>
      <c r="L53" s="13" t="s">
        <v>5221</v>
      </c>
      <c r="M53" s="13" t="s">
        <v>5367</v>
      </c>
      <c r="N53" s="13" t="s">
        <v>5223</v>
      </c>
      <c r="O53" s="13" t="s">
        <v>5370</v>
      </c>
      <c r="P53" s="13" t="s">
        <v>5225</v>
      </c>
      <c r="Q53" s="13" t="s">
        <v>5381</v>
      </c>
      <c r="R53" s="13" t="s">
        <v>5229</v>
      </c>
      <c r="S53" s="13" t="s">
        <v>5384</v>
      </c>
      <c r="T53" s="13" t="s">
        <v>5231</v>
      </c>
      <c r="U53" s="13" t="s">
        <v>5392</v>
      </c>
      <c r="V53" s="13" t="s">
        <v>5234</v>
      </c>
    </row>
    <row r="54" spans="1:22" ht="15">
      <c r="A54" s="102" t="s">
        <v>5313</v>
      </c>
      <c r="B54" s="102">
        <v>25</v>
      </c>
      <c r="C54" s="102" t="s">
        <v>5314</v>
      </c>
      <c r="D54" s="102">
        <v>22</v>
      </c>
      <c r="E54" s="102" t="s">
        <v>5326</v>
      </c>
      <c r="F54" s="102">
        <v>17</v>
      </c>
      <c r="G54" s="102" t="s">
        <v>5322</v>
      </c>
      <c r="H54" s="102">
        <v>18</v>
      </c>
      <c r="I54" s="102" t="s">
        <v>5347</v>
      </c>
      <c r="J54" s="102">
        <v>7</v>
      </c>
      <c r="K54" s="102" t="s">
        <v>5357</v>
      </c>
      <c r="L54" s="102">
        <v>12</v>
      </c>
      <c r="M54" s="102" t="s">
        <v>5368</v>
      </c>
      <c r="N54" s="102">
        <v>2</v>
      </c>
      <c r="O54" s="102" t="s">
        <v>5371</v>
      </c>
      <c r="P54" s="102">
        <v>2</v>
      </c>
      <c r="Q54" s="102" t="s">
        <v>5382</v>
      </c>
      <c r="R54" s="102">
        <v>2</v>
      </c>
      <c r="S54" s="102" t="s">
        <v>5385</v>
      </c>
      <c r="T54" s="102">
        <v>3</v>
      </c>
      <c r="U54" s="102" t="s">
        <v>5393</v>
      </c>
      <c r="V54" s="102">
        <v>3</v>
      </c>
    </row>
    <row r="55" spans="1:22" ht="15">
      <c r="A55" s="97" t="s">
        <v>5314</v>
      </c>
      <c r="B55" s="102">
        <v>24</v>
      </c>
      <c r="C55" s="102" t="s">
        <v>5315</v>
      </c>
      <c r="D55" s="102">
        <v>22</v>
      </c>
      <c r="E55" s="102" t="s">
        <v>5327</v>
      </c>
      <c r="F55" s="102">
        <v>6</v>
      </c>
      <c r="G55" s="102" t="s">
        <v>5337</v>
      </c>
      <c r="H55" s="102">
        <v>15</v>
      </c>
      <c r="I55" s="102" t="s">
        <v>5348</v>
      </c>
      <c r="J55" s="102">
        <v>7</v>
      </c>
      <c r="K55" s="102" t="s">
        <v>5358</v>
      </c>
      <c r="L55" s="102">
        <v>12</v>
      </c>
      <c r="M55" s="102" t="s">
        <v>5369</v>
      </c>
      <c r="N55" s="102">
        <v>2</v>
      </c>
      <c r="O55" s="102" t="s">
        <v>5372</v>
      </c>
      <c r="P55" s="102">
        <v>2</v>
      </c>
      <c r="Q55" s="102" t="s">
        <v>5383</v>
      </c>
      <c r="R55" s="102">
        <v>2</v>
      </c>
      <c r="S55" s="102" t="s">
        <v>5386</v>
      </c>
      <c r="T55" s="102">
        <v>3</v>
      </c>
      <c r="U55" s="102" t="s">
        <v>5394</v>
      </c>
      <c r="V55" s="102">
        <v>3</v>
      </c>
    </row>
    <row r="56" spans="1:22" ht="15">
      <c r="A56" s="97" t="s">
        <v>5315</v>
      </c>
      <c r="B56" s="102">
        <v>24</v>
      </c>
      <c r="C56" s="102" t="s">
        <v>5316</v>
      </c>
      <c r="D56" s="102">
        <v>22</v>
      </c>
      <c r="E56" s="102" t="s">
        <v>5328</v>
      </c>
      <c r="F56" s="102">
        <v>4</v>
      </c>
      <c r="G56" s="102" t="s">
        <v>5338</v>
      </c>
      <c r="H56" s="102">
        <v>15</v>
      </c>
      <c r="I56" s="102" t="s">
        <v>5349</v>
      </c>
      <c r="J56" s="102">
        <v>7</v>
      </c>
      <c r="K56" s="102" t="s">
        <v>5359</v>
      </c>
      <c r="L56" s="102">
        <v>12</v>
      </c>
      <c r="M56" s="102"/>
      <c r="N56" s="102"/>
      <c r="O56" s="102" t="s">
        <v>5373</v>
      </c>
      <c r="P56" s="102">
        <v>2</v>
      </c>
      <c r="Q56" s="102"/>
      <c r="R56" s="102"/>
      <c r="S56" s="102" t="s">
        <v>5387</v>
      </c>
      <c r="T56" s="102">
        <v>3</v>
      </c>
      <c r="U56" s="102" t="s">
        <v>5395</v>
      </c>
      <c r="V56" s="102">
        <v>3</v>
      </c>
    </row>
    <row r="57" spans="1:22" ht="15">
      <c r="A57" s="97" t="s">
        <v>5316</v>
      </c>
      <c r="B57" s="102">
        <v>24</v>
      </c>
      <c r="C57" s="102" t="s">
        <v>5317</v>
      </c>
      <c r="D57" s="102">
        <v>20</v>
      </c>
      <c r="E57" s="102" t="s">
        <v>5329</v>
      </c>
      <c r="F57" s="102">
        <v>4</v>
      </c>
      <c r="G57" s="102" t="s">
        <v>5339</v>
      </c>
      <c r="H57" s="102">
        <v>15</v>
      </c>
      <c r="I57" s="102" t="s">
        <v>5350</v>
      </c>
      <c r="J57" s="102">
        <v>7</v>
      </c>
      <c r="K57" s="102" t="s">
        <v>5360</v>
      </c>
      <c r="L57" s="102">
        <v>12</v>
      </c>
      <c r="M57" s="102"/>
      <c r="N57" s="102"/>
      <c r="O57" s="102" t="s">
        <v>5374</v>
      </c>
      <c r="P57" s="102">
        <v>2</v>
      </c>
      <c r="Q57" s="102"/>
      <c r="R57" s="102"/>
      <c r="S57" s="102" t="s">
        <v>5388</v>
      </c>
      <c r="T57" s="102">
        <v>2</v>
      </c>
      <c r="U57" s="102" t="s">
        <v>5396</v>
      </c>
      <c r="V57" s="102">
        <v>3</v>
      </c>
    </row>
    <row r="58" spans="1:22" ht="15">
      <c r="A58" s="97" t="s">
        <v>5317</v>
      </c>
      <c r="B58" s="102">
        <v>23</v>
      </c>
      <c r="C58" s="102" t="s">
        <v>5318</v>
      </c>
      <c r="D58" s="102">
        <v>20</v>
      </c>
      <c r="E58" s="102" t="s">
        <v>5330</v>
      </c>
      <c r="F58" s="102">
        <v>3</v>
      </c>
      <c r="G58" s="102" t="s">
        <v>5340</v>
      </c>
      <c r="H58" s="102">
        <v>15</v>
      </c>
      <c r="I58" s="102" t="s">
        <v>5351</v>
      </c>
      <c r="J58" s="102">
        <v>7</v>
      </c>
      <c r="K58" s="102" t="s">
        <v>5361</v>
      </c>
      <c r="L58" s="102">
        <v>12</v>
      </c>
      <c r="M58" s="102"/>
      <c r="N58" s="102"/>
      <c r="O58" s="102" t="s">
        <v>5375</v>
      </c>
      <c r="P58" s="102">
        <v>2</v>
      </c>
      <c r="Q58" s="102"/>
      <c r="R58" s="102"/>
      <c r="S58" s="102" t="s">
        <v>5389</v>
      </c>
      <c r="T58" s="102">
        <v>2</v>
      </c>
      <c r="U58" s="102" t="s">
        <v>5397</v>
      </c>
      <c r="V58" s="102">
        <v>3</v>
      </c>
    </row>
    <row r="59" spans="1:22" ht="15">
      <c r="A59" s="97" t="s">
        <v>5318</v>
      </c>
      <c r="B59" s="102">
        <v>22</v>
      </c>
      <c r="C59" s="102" t="s">
        <v>5319</v>
      </c>
      <c r="D59" s="102">
        <v>20</v>
      </c>
      <c r="E59" s="102" t="s">
        <v>5331</v>
      </c>
      <c r="F59" s="102">
        <v>3</v>
      </c>
      <c r="G59" s="102" t="s">
        <v>5341</v>
      </c>
      <c r="H59" s="102">
        <v>15</v>
      </c>
      <c r="I59" s="102" t="s">
        <v>5352</v>
      </c>
      <c r="J59" s="102">
        <v>7</v>
      </c>
      <c r="K59" s="102" t="s">
        <v>5362</v>
      </c>
      <c r="L59" s="102">
        <v>12</v>
      </c>
      <c r="M59" s="102"/>
      <c r="N59" s="102"/>
      <c r="O59" s="102" t="s">
        <v>5376</v>
      </c>
      <c r="P59" s="102">
        <v>2</v>
      </c>
      <c r="Q59" s="102"/>
      <c r="R59" s="102"/>
      <c r="S59" s="102" t="s">
        <v>5390</v>
      </c>
      <c r="T59" s="102">
        <v>2</v>
      </c>
      <c r="U59" s="102" t="s">
        <v>5398</v>
      </c>
      <c r="V59" s="102">
        <v>3</v>
      </c>
    </row>
    <row r="60" spans="1:22" ht="15">
      <c r="A60" s="97" t="s">
        <v>5319</v>
      </c>
      <c r="B60" s="102">
        <v>22</v>
      </c>
      <c r="C60" s="102" t="s">
        <v>5320</v>
      </c>
      <c r="D60" s="102">
        <v>20</v>
      </c>
      <c r="E60" s="102" t="s">
        <v>5332</v>
      </c>
      <c r="F60" s="102">
        <v>3</v>
      </c>
      <c r="G60" s="102" t="s">
        <v>5342</v>
      </c>
      <c r="H60" s="102">
        <v>15</v>
      </c>
      <c r="I60" s="102" t="s">
        <v>5353</v>
      </c>
      <c r="J60" s="102">
        <v>7</v>
      </c>
      <c r="K60" s="102" t="s">
        <v>5363</v>
      </c>
      <c r="L60" s="102">
        <v>12</v>
      </c>
      <c r="M60" s="102"/>
      <c r="N60" s="102"/>
      <c r="O60" s="102" t="s">
        <v>5377</v>
      </c>
      <c r="P60" s="102">
        <v>2</v>
      </c>
      <c r="Q60" s="102"/>
      <c r="R60" s="102"/>
      <c r="S60" s="102" t="s">
        <v>5391</v>
      </c>
      <c r="T60" s="102">
        <v>2</v>
      </c>
      <c r="U60" s="102" t="s">
        <v>5399</v>
      </c>
      <c r="V60" s="102">
        <v>3</v>
      </c>
    </row>
    <row r="61" spans="1:22" ht="15">
      <c r="A61" s="97" t="s">
        <v>5320</v>
      </c>
      <c r="B61" s="102">
        <v>22</v>
      </c>
      <c r="C61" s="102" t="s">
        <v>5321</v>
      </c>
      <c r="D61" s="102">
        <v>20</v>
      </c>
      <c r="E61" s="102" t="s">
        <v>5333</v>
      </c>
      <c r="F61" s="102">
        <v>3</v>
      </c>
      <c r="G61" s="102" t="s">
        <v>5343</v>
      </c>
      <c r="H61" s="102">
        <v>6</v>
      </c>
      <c r="I61" s="102" t="s">
        <v>5313</v>
      </c>
      <c r="J61" s="102">
        <v>7</v>
      </c>
      <c r="K61" s="102" t="s">
        <v>5364</v>
      </c>
      <c r="L61" s="102">
        <v>12</v>
      </c>
      <c r="M61" s="102"/>
      <c r="N61" s="102"/>
      <c r="O61" s="102" t="s">
        <v>5378</v>
      </c>
      <c r="P61" s="102">
        <v>2</v>
      </c>
      <c r="Q61" s="102"/>
      <c r="R61" s="102"/>
      <c r="S61" s="102"/>
      <c r="T61" s="102"/>
      <c r="U61" s="102" t="s">
        <v>5400</v>
      </c>
      <c r="V61" s="102">
        <v>3</v>
      </c>
    </row>
    <row r="62" spans="1:22" ht="15">
      <c r="A62" s="97" t="s">
        <v>5321</v>
      </c>
      <c r="B62" s="102">
        <v>22</v>
      </c>
      <c r="C62" s="102" t="s">
        <v>5313</v>
      </c>
      <c r="D62" s="102">
        <v>15</v>
      </c>
      <c r="E62" s="102" t="s">
        <v>5334</v>
      </c>
      <c r="F62" s="102">
        <v>3</v>
      </c>
      <c r="G62" s="102" t="s">
        <v>5344</v>
      </c>
      <c r="H62" s="102">
        <v>4</v>
      </c>
      <c r="I62" s="102" t="s">
        <v>5354</v>
      </c>
      <c r="J62" s="102">
        <v>5</v>
      </c>
      <c r="K62" s="102" t="s">
        <v>5365</v>
      </c>
      <c r="L62" s="102">
        <v>12</v>
      </c>
      <c r="M62" s="102"/>
      <c r="N62" s="102"/>
      <c r="O62" s="102" t="s">
        <v>5379</v>
      </c>
      <c r="P62" s="102">
        <v>2</v>
      </c>
      <c r="Q62" s="102"/>
      <c r="R62" s="102"/>
      <c r="S62" s="102"/>
      <c r="T62" s="102"/>
      <c r="U62" s="102" t="s">
        <v>5401</v>
      </c>
      <c r="V62" s="102">
        <v>3</v>
      </c>
    </row>
    <row r="63" spans="1:22" ht="15">
      <c r="A63" s="97" t="s">
        <v>5322</v>
      </c>
      <c r="B63" s="102">
        <v>21</v>
      </c>
      <c r="C63" s="102" t="s">
        <v>5324</v>
      </c>
      <c r="D63" s="102">
        <v>13</v>
      </c>
      <c r="E63" s="102" t="s">
        <v>5335</v>
      </c>
      <c r="F63" s="102">
        <v>3</v>
      </c>
      <c r="G63" s="102" t="s">
        <v>5345</v>
      </c>
      <c r="H63" s="102">
        <v>4</v>
      </c>
      <c r="I63" s="102" t="s">
        <v>5355</v>
      </c>
      <c r="J63" s="102">
        <v>5</v>
      </c>
      <c r="K63" s="102" t="s">
        <v>5366</v>
      </c>
      <c r="L63" s="102">
        <v>12</v>
      </c>
      <c r="M63" s="102"/>
      <c r="N63" s="102"/>
      <c r="O63" s="102" t="s">
        <v>5380</v>
      </c>
      <c r="P63" s="102">
        <v>2</v>
      </c>
      <c r="Q63" s="102"/>
      <c r="R63" s="102"/>
      <c r="S63" s="102"/>
      <c r="T63" s="102"/>
      <c r="U63" s="102" t="s">
        <v>5402</v>
      </c>
      <c r="V63" s="102">
        <v>3</v>
      </c>
    </row>
    <row r="66" spans="1:22" ht="14.4" customHeight="1">
      <c r="A66" s="13" t="s">
        <v>5419</v>
      </c>
      <c r="B66" s="13" t="s">
        <v>5198</v>
      </c>
      <c r="C66" s="13" t="s">
        <v>5421</v>
      </c>
      <c r="D66" s="13" t="s">
        <v>5205</v>
      </c>
      <c r="E66" s="13" t="s">
        <v>5422</v>
      </c>
      <c r="F66" s="13" t="s">
        <v>5212</v>
      </c>
      <c r="G66" s="13" t="s">
        <v>5425</v>
      </c>
      <c r="H66" s="13" t="s">
        <v>5215</v>
      </c>
      <c r="I66" s="13" t="s">
        <v>5427</v>
      </c>
      <c r="J66" s="13" t="s">
        <v>5217</v>
      </c>
      <c r="K66" s="13" t="s">
        <v>5429</v>
      </c>
      <c r="L66" s="13" t="s">
        <v>5221</v>
      </c>
      <c r="M66" s="13" t="s">
        <v>5431</v>
      </c>
      <c r="N66" s="13" t="s">
        <v>5223</v>
      </c>
      <c r="O66" s="13" t="s">
        <v>5433</v>
      </c>
      <c r="P66" s="13" t="s">
        <v>5225</v>
      </c>
      <c r="Q66" s="13" t="s">
        <v>5435</v>
      </c>
      <c r="R66" s="13" t="s">
        <v>5229</v>
      </c>
      <c r="S66" s="13" t="s">
        <v>5437</v>
      </c>
      <c r="T66" s="13" t="s">
        <v>5231</v>
      </c>
      <c r="U66" s="13" t="s">
        <v>5439</v>
      </c>
      <c r="V66" s="13" t="s">
        <v>5234</v>
      </c>
    </row>
    <row r="67" spans="1:22" ht="15">
      <c r="A67" s="89" t="s">
        <v>459</v>
      </c>
      <c r="B67" s="89">
        <v>15</v>
      </c>
      <c r="C67" s="89" t="s">
        <v>338</v>
      </c>
      <c r="D67" s="89">
        <v>13</v>
      </c>
      <c r="E67" s="89" t="s">
        <v>459</v>
      </c>
      <c r="F67" s="89">
        <v>14</v>
      </c>
      <c r="G67" s="89" t="s">
        <v>450</v>
      </c>
      <c r="H67" s="89">
        <v>6</v>
      </c>
      <c r="I67" s="89" t="s">
        <v>429</v>
      </c>
      <c r="J67" s="89">
        <v>3</v>
      </c>
      <c r="K67" s="89" t="s">
        <v>432</v>
      </c>
      <c r="L67" s="89">
        <v>12</v>
      </c>
      <c r="M67" s="89" t="s">
        <v>385</v>
      </c>
      <c r="N67" s="89">
        <v>2</v>
      </c>
      <c r="O67" s="89" t="s">
        <v>390</v>
      </c>
      <c r="P67" s="89">
        <v>2</v>
      </c>
      <c r="Q67" s="89" t="s">
        <v>421</v>
      </c>
      <c r="R67" s="89">
        <v>2</v>
      </c>
      <c r="S67" s="89" t="s">
        <v>399</v>
      </c>
      <c r="T67" s="89">
        <v>3</v>
      </c>
      <c r="U67" s="89" t="s">
        <v>480</v>
      </c>
      <c r="V67" s="89">
        <v>1</v>
      </c>
    </row>
    <row r="68" spans="1:22" ht="15">
      <c r="A68" s="90" t="s">
        <v>432</v>
      </c>
      <c r="B68" s="89">
        <v>14</v>
      </c>
      <c r="C68" s="89" t="s">
        <v>434</v>
      </c>
      <c r="D68" s="89">
        <v>4</v>
      </c>
      <c r="E68" s="89" t="s">
        <v>372</v>
      </c>
      <c r="F68" s="89">
        <v>3</v>
      </c>
      <c r="G68" s="89" t="s">
        <v>448</v>
      </c>
      <c r="H68" s="89">
        <v>3</v>
      </c>
      <c r="I68" s="89" t="s">
        <v>451</v>
      </c>
      <c r="J68" s="89">
        <v>2</v>
      </c>
      <c r="K68" s="89" t="s">
        <v>349</v>
      </c>
      <c r="L68" s="89">
        <v>6</v>
      </c>
      <c r="M68" s="89" t="s">
        <v>520</v>
      </c>
      <c r="N68" s="89">
        <v>1</v>
      </c>
      <c r="O68" s="89" t="s">
        <v>393</v>
      </c>
      <c r="P68" s="89">
        <v>2</v>
      </c>
      <c r="Q68" s="89" t="s">
        <v>418</v>
      </c>
      <c r="R68" s="89">
        <v>1</v>
      </c>
      <c r="S68" s="89" t="s">
        <v>398</v>
      </c>
      <c r="T68" s="89">
        <v>1</v>
      </c>
      <c r="U68" s="89" t="s">
        <v>331</v>
      </c>
      <c r="V68" s="89">
        <v>1</v>
      </c>
    </row>
    <row r="69" spans="1:22" ht="15">
      <c r="A69" s="90" t="s">
        <v>338</v>
      </c>
      <c r="B69" s="89">
        <v>13</v>
      </c>
      <c r="C69" s="89" t="s">
        <v>378</v>
      </c>
      <c r="D69" s="89">
        <v>4</v>
      </c>
      <c r="E69" s="89" t="s">
        <v>379</v>
      </c>
      <c r="F69" s="89">
        <v>3</v>
      </c>
      <c r="G69" s="89" t="s">
        <v>368</v>
      </c>
      <c r="H69" s="89">
        <v>3</v>
      </c>
      <c r="I69" s="89" t="s">
        <v>470</v>
      </c>
      <c r="J69" s="89">
        <v>1</v>
      </c>
      <c r="K69" s="89" t="s">
        <v>501</v>
      </c>
      <c r="L69" s="89">
        <v>3</v>
      </c>
      <c r="M69" s="89" t="s">
        <v>517</v>
      </c>
      <c r="N69" s="89">
        <v>1</v>
      </c>
      <c r="O69" s="89" t="s">
        <v>404</v>
      </c>
      <c r="P69" s="89">
        <v>1</v>
      </c>
      <c r="Q69" s="89" t="s">
        <v>414</v>
      </c>
      <c r="R69" s="89">
        <v>1</v>
      </c>
      <c r="S69" s="89" t="s">
        <v>248</v>
      </c>
      <c r="T69" s="89">
        <v>1</v>
      </c>
      <c r="U69" s="89" t="s">
        <v>332</v>
      </c>
      <c r="V69" s="89">
        <v>1</v>
      </c>
    </row>
    <row r="70" spans="1:22" ht="15">
      <c r="A70" s="90" t="s">
        <v>349</v>
      </c>
      <c r="B70" s="89">
        <v>6</v>
      </c>
      <c r="C70" s="89" t="s">
        <v>301</v>
      </c>
      <c r="D70" s="89">
        <v>2</v>
      </c>
      <c r="E70" s="89" t="s">
        <v>511</v>
      </c>
      <c r="F70" s="89">
        <v>1</v>
      </c>
      <c r="G70" s="89" t="s">
        <v>385</v>
      </c>
      <c r="H70" s="89">
        <v>3</v>
      </c>
      <c r="I70" s="89" t="s">
        <v>432</v>
      </c>
      <c r="J70" s="89">
        <v>1</v>
      </c>
      <c r="K70" s="89" t="s">
        <v>436</v>
      </c>
      <c r="L70" s="89">
        <v>2</v>
      </c>
      <c r="M70" s="89" t="s">
        <v>490</v>
      </c>
      <c r="N70" s="89">
        <v>1</v>
      </c>
      <c r="O70" s="89" t="s">
        <v>391</v>
      </c>
      <c r="P70" s="89">
        <v>1</v>
      </c>
      <c r="Q70" s="89" t="s">
        <v>422</v>
      </c>
      <c r="R70" s="89">
        <v>1</v>
      </c>
      <c r="S70" s="89" t="s">
        <v>249</v>
      </c>
      <c r="T70" s="89">
        <v>1</v>
      </c>
      <c r="U70" s="89"/>
      <c r="V70" s="89"/>
    </row>
    <row r="71" spans="1:22" ht="15">
      <c r="A71" s="90" t="s">
        <v>450</v>
      </c>
      <c r="B71" s="89">
        <v>6</v>
      </c>
      <c r="C71" s="89" t="s">
        <v>516</v>
      </c>
      <c r="D71" s="89">
        <v>1</v>
      </c>
      <c r="E71" s="89" t="s">
        <v>432</v>
      </c>
      <c r="F71" s="89">
        <v>1</v>
      </c>
      <c r="G71" s="89" t="s">
        <v>505</v>
      </c>
      <c r="H71" s="89">
        <v>1</v>
      </c>
      <c r="I71" s="89" t="s">
        <v>437</v>
      </c>
      <c r="J71" s="89">
        <v>1</v>
      </c>
      <c r="K71" s="89" t="s">
        <v>348</v>
      </c>
      <c r="L71" s="89">
        <v>1</v>
      </c>
      <c r="M71" s="89" t="s">
        <v>488</v>
      </c>
      <c r="N71" s="89">
        <v>1</v>
      </c>
      <c r="O71" s="89"/>
      <c r="P71" s="89"/>
      <c r="Q71" s="89"/>
      <c r="R71" s="89"/>
      <c r="S71" s="89"/>
      <c r="T71" s="89"/>
      <c r="U71" s="89"/>
      <c r="V71" s="89"/>
    </row>
    <row r="72" spans="1:22" ht="15">
      <c r="A72" s="90" t="s">
        <v>385</v>
      </c>
      <c r="B72" s="89">
        <v>5</v>
      </c>
      <c r="C72" s="89" t="s">
        <v>513</v>
      </c>
      <c r="D72" s="89">
        <v>1</v>
      </c>
      <c r="E72" s="89" t="s">
        <v>479</v>
      </c>
      <c r="F72" s="89">
        <v>1</v>
      </c>
      <c r="G72" s="89" t="s">
        <v>335</v>
      </c>
      <c r="H72" s="89">
        <v>1</v>
      </c>
      <c r="I72" s="89" t="s">
        <v>452</v>
      </c>
      <c r="J72" s="89">
        <v>1</v>
      </c>
      <c r="K72" s="89" t="s">
        <v>2790</v>
      </c>
      <c r="L72" s="89">
        <v>1</v>
      </c>
      <c r="M72" s="89" t="s">
        <v>489</v>
      </c>
      <c r="N72" s="89">
        <v>1</v>
      </c>
      <c r="O72" s="89"/>
      <c r="P72" s="89"/>
      <c r="Q72" s="89"/>
      <c r="R72" s="89"/>
      <c r="S72" s="89"/>
      <c r="T72" s="89"/>
      <c r="U72" s="89"/>
      <c r="V72" s="89"/>
    </row>
    <row r="73" spans="1:22" ht="15">
      <c r="A73" s="90" t="s">
        <v>434</v>
      </c>
      <c r="B73" s="89">
        <v>5</v>
      </c>
      <c r="C73" s="89" t="s">
        <v>509</v>
      </c>
      <c r="D73" s="89">
        <v>1</v>
      </c>
      <c r="E73" s="89" t="s">
        <v>477</v>
      </c>
      <c r="F73" s="89">
        <v>1</v>
      </c>
      <c r="G73" s="89" t="s">
        <v>495</v>
      </c>
      <c r="H73" s="89">
        <v>1</v>
      </c>
      <c r="I73" s="89" t="s">
        <v>453</v>
      </c>
      <c r="J73" s="89">
        <v>1</v>
      </c>
      <c r="K73" s="89" t="s">
        <v>496</v>
      </c>
      <c r="L73" s="89">
        <v>1</v>
      </c>
      <c r="M73" s="89" t="s">
        <v>493</v>
      </c>
      <c r="N73" s="89">
        <v>1</v>
      </c>
      <c r="O73" s="89"/>
      <c r="P73" s="89"/>
      <c r="Q73" s="89"/>
      <c r="R73" s="89"/>
      <c r="S73" s="89"/>
      <c r="T73" s="89"/>
      <c r="U73" s="89"/>
      <c r="V73" s="89"/>
    </row>
    <row r="74" spans="1:22" ht="15">
      <c r="A74" s="90" t="s">
        <v>399</v>
      </c>
      <c r="B74" s="89">
        <v>4</v>
      </c>
      <c r="C74" s="89" t="s">
        <v>459</v>
      </c>
      <c r="D74" s="89">
        <v>1</v>
      </c>
      <c r="E74" s="89" t="s">
        <v>434</v>
      </c>
      <c r="F74" s="89">
        <v>1</v>
      </c>
      <c r="G74" s="89" t="s">
        <v>482</v>
      </c>
      <c r="H74" s="89">
        <v>1</v>
      </c>
      <c r="I74" s="89" t="s">
        <v>454</v>
      </c>
      <c r="J74" s="89">
        <v>1</v>
      </c>
      <c r="K74" s="89" t="s">
        <v>497</v>
      </c>
      <c r="L74" s="89">
        <v>1</v>
      </c>
      <c r="M74" s="89" t="s">
        <v>266</v>
      </c>
      <c r="N74" s="89">
        <v>1</v>
      </c>
      <c r="O74" s="89"/>
      <c r="P74" s="89"/>
      <c r="Q74" s="89"/>
      <c r="R74" s="89"/>
      <c r="S74" s="89"/>
      <c r="T74" s="89"/>
      <c r="U74" s="89"/>
      <c r="V74" s="89"/>
    </row>
    <row r="75" spans="1:22" ht="15">
      <c r="A75" s="90" t="s">
        <v>378</v>
      </c>
      <c r="B75" s="89">
        <v>4</v>
      </c>
      <c r="C75" s="89" t="s">
        <v>435</v>
      </c>
      <c r="D75" s="89">
        <v>1</v>
      </c>
      <c r="E75" s="89" t="s">
        <v>468</v>
      </c>
      <c r="F75" s="89">
        <v>1</v>
      </c>
      <c r="G75" s="89"/>
      <c r="H75" s="89"/>
      <c r="I75" s="89" t="s">
        <v>455</v>
      </c>
      <c r="J75" s="89">
        <v>1</v>
      </c>
      <c r="K75" s="89" t="s">
        <v>500</v>
      </c>
      <c r="L75" s="89">
        <v>1</v>
      </c>
      <c r="M75" s="89" t="s">
        <v>403</v>
      </c>
      <c r="N75" s="89">
        <v>1</v>
      </c>
      <c r="O75" s="89"/>
      <c r="P75" s="89"/>
      <c r="Q75" s="89"/>
      <c r="R75" s="89"/>
      <c r="S75" s="89"/>
      <c r="T75" s="89"/>
      <c r="U75" s="89"/>
      <c r="V75" s="89"/>
    </row>
    <row r="76" spans="1:22" ht="15">
      <c r="A76" s="90" t="s">
        <v>400</v>
      </c>
      <c r="B76" s="89">
        <v>4</v>
      </c>
      <c r="C76" s="89" t="s">
        <v>399</v>
      </c>
      <c r="D76" s="89">
        <v>1</v>
      </c>
      <c r="E76" s="89" t="s">
        <v>460</v>
      </c>
      <c r="F76" s="89">
        <v>1</v>
      </c>
      <c r="G76" s="89"/>
      <c r="H76" s="89"/>
      <c r="I76" s="89" t="s">
        <v>456</v>
      </c>
      <c r="J76" s="89">
        <v>1</v>
      </c>
      <c r="K76" s="89" t="s">
        <v>503</v>
      </c>
      <c r="L76" s="89">
        <v>1</v>
      </c>
      <c r="M76" s="89"/>
      <c r="N76" s="89"/>
      <c r="O76" s="89"/>
      <c r="P76" s="89"/>
      <c r="Q76" s="89"/>
      <c r="R76" s="89"/>
      <c r="S76" s="89"/>
      <c r="T76" s="89"/>
      <c r="U76" s="89"/>
      <c r="V76" s="89"/>
    </row>
    <row r="79" spans="1:22" ht="14.4" customHeight="1">
      <c r="A79" s="13" t="s">
        <v>5420</v>
      </c>
      <c r="B79" s="13" t="s">
        <v>5198</v>
      </c>
      <c r="C79" s="13" t="s">
        <v>5423</v>
      </c>
      <c r="D79" s="13" t="s">
        <v>5205</v>
      </c>
      <c r="E79" s="13" t="s">
        <v>5424</v>
      </c>
      <c r="F79" s="13" t="s">
        <v>5212</v>
      </c>
      <c r="G79" s="13" t="s">
        <v>5426</v>
      </c>
      <c r="H79" s="13" t="s">
        <v>5215</v>
      </c>
      <c r="I79" s="13" t="s">
        <v>5428</v>
      </c>
      <c r="J79" s="13" t="s">
        <v>5217</v>
      </c>
      <c r="K79" s="13" t="s">
        <v>5430</v>
      </c>
      <c r="L79" s="13" t="s">
        <v>5221</v>
      </c>
      <c r="M79" s="13" t="s">
        <v>5432</v>
      </c>
      <c r="N79" s="13" t="s">
        <v>5223</v>
      </c>
      <c r="O79" s="13" t="s">
        <v>5434</v>
      </c>
      <c r="P79" s="13" t="s">
        <v>5225</v>
      </c>
      <c r="Q79" s="13" t="s">
        <v>5436</v>
      </c>
      <c r="R79" s="13" t="s">
        <v>5229</v>
      </c>
      <c r="S79" s="13" t="s">
        <v>5438</v>
      </c>
      <c r="T79" s="13" t="s">
        <v>5231</v>
      </c>
      <c r="U79" s="13" t="s">
        <v>5440</v>
      </c>
      <c r="V79" s="13" t="s">
        <v>5234</v>
      </c>
    </row>
    <row r="80" spans="1:22" ht="15">
      <c r="A80" s="89" t="s">
        <v>458</v>
      </c>
      <c r="B80" s="89">
        <v>26</v>
      </c>
      <c r="C80" s="89" t="s">
        <v>433</v>
      </c>
      <c r="D80" s="89">
        <v>5</v>
      </c>
      <c r="E80" s="89" t="s">
        <v>458</v>
      </c>
      <c r="F80" s="89">
        <v>25</v>
      </c>
      <c r="G80" s="89" t="s">
        <v>431</v>
      </c>
      <c r="H80" s="89">
        <v>18</v>
      </c>
      <c r="I80" s="89" t="s">
        <v>457</v>
      </c>
      <c r="J80" s="89">
        <v>3</v>
      </c>
      <c r="K80" s="89" t="s">
        <v>501</v>
      </c>
      <c r="L80" s="89">
        <v>2</v>
      </c>
      <c r="M80" s="89" t="s">
        <v>384</v>
      </c>
      <c r="N80" s="89">
        <v>2</v>
      </c>
      <c r="O80" s="89" t="s">
        <v>388</v>
      </c>
      <c r="P80" s="89">
        <v>5</v>
      </c>
      <c r="Q80" s="89" t="s">
        <v>420</v>
      </c>
      <c r="R80" s="89">
        <v>3</v>
      </c>
      <c r="S80" s="89" t="s">
        <v>397</v>
      </c>
      <c r="T80" s="89">
        <v>4</v>
      </c>
      <c r="U80" s="89" t="s">
        <v>386</v>
      </c>
      <c r="V80" s="89">
        <v>3</v>
      </c>
    </row>
    <row r="81" spans="1:22" ht="15">
      <c r="A81" s="90" t="s">
        <v>431</v>
      </c>
      <c r="B81" s="89">
        <v>21</v>
      </c>
      <c r="C81" s="89" t="s">
        <v>338</v>
      </c>
      <c r="D81" s="89">
        <v>3</v>
      </c>
      <c r="E81" s="89" t="s">
        <v>459</v>
      </c>
      <c r="F81" s="89">
        <v>11</v>
      </c>
      <c r="G81" s="89" t="s">
        <v>430</v>
      </c>
      <c r="H81" s="89">
        <v>18</v>
      </c>
      <c r="I81" s="89" t="s">
        <v>289</v>
      </c>
      <c r="J81" s="89">
        <v>2</v>
      </c>
      <c r="K81" s="89" t="s">
        <v>348</v>
      </c>
      <c r="L81" s="89">
        <v>2</v>
      </c>
      <c r="M81" s="89" t="s">
        <v>385</v>
      </c>
      <c r="N81" s="89">
        <v>2</v>
      </c>
      <c r="O81" s="89" t="s">
        <v>389</v>
      </c>
      <c r="P81" s="89">
        <v>2</v>
      </c>
      <c r="Q81" s="89" t="s">
        <v>422</v>
      </c>
      <c r="R81" s="89">
        <v>2</v>
      </c>
      <c r="S81" s="89" t="s">
        <v>396</v>
      </c>
      <c r="T81" s="89">
        <v>4</v>
      </c>
      <c r="U81" s="89"/>
      <c r="V81" s="89"/>
    </row>
    <row r="82" spans="1:22" ht="15">
      <c r="A82" s="90" t="s">
        <v>430</v>
      </c>
      <c r="B82" s="89">
        <v>21</v>
      </c>
      <c r="C82" s="89" t="s">
        <v>515</v>
      </c>
      <c r="D82" s="89">
        <v>1</v>
      </c>
      <c r="E82" s="89" t="s">
        <v>372</v>
      </c>
      <c r="F82" s="89">
        <v>4</v>
      </c>
      <c r="G82" s="89" t="s">
        <v>449</v>
      </c>
      <c r="H82" s="89">
        <v>4</v>
      </c>
      <c r="I82" s="89" t="s">
        <v>454</v>
      </c>
      <c r="J82" s="89">
        <v>2</v>
      </c>
      <c r="K82" s="89" t="s">
        <v>499</v>
      </c>
      <c r="L82" s="89">
        <v>2</v>
      </c>
      <c r="M82" s="89" t="s">
        <v>450</v>
      </c>
      <c r="N82" s="89">
        <v>2</v>
      </c>
      <c r="O82" s="89" t="s">
        <v>387</v>
      </c>
      <c r="P82" s="89">
        <v>2</v>
      </c>
      <c r="Q82" s="89" t="s">
        <v>419</v>
      </c>
      <c r="R82" s="89">
        <v>1</v>
      </c>
      <c r="S82" s="89" t="s">
        <v>271</v>
      </c>
      <c r="T82" s="89">
        <v>4</v>
      </c>
      <c r="U82" s="89"/>
      <c r="V82" s="89"/>
    </row>
    <row r="83" spans="1:22" ht="15">
      <c r="A83" s="90" t="s">
        <v>459</v>
      </c>
      <c r="B83" s="89">
        <v>11</v>
      </c>
      <c r="C83" s="89" t="s">
        <v>514</v>
      </c>
      <c r="D83" s="89">
        <v>1</v>
      </c>
      <c r="E83" s="89" t="s">
        <v>465</v>
      </c>
      <c r="F83" s="89">
        <v>2</v>
      </c>
      <c r="G83" s="89" t="s">
        <v>448</v>
      </c>
      <c r="H83" s="89">
        <v>4</v>
      </c>
      <c r="I83" s="89" t="s">
        <v>446</v>
      </c>
      <c r="J83" s="89">
        <v>2</v>
      </c>
      <c r="K83" s="89" t="s">
        <v>498</v>
      </c>
      <c r="L83" s="89">
        <v>2</v>
      </c>
      <c r="M83" s="89" t="s">
        <v>375</v>
      </c>
      <c r="N83" s="89">
        <v>1</v>
      </c>
      <c r="O83" s="89" t="s">
        <v>338</v>
      </c>
      <c r="P83" s="89">
        <v>1</v>
      </c>
      <c r="Q83" s="89" t="s">
        <v>417</v>
      </c>
      <c r="R83" s="89">
        <v>1</v>
      </c>
      <c r="S83" s="89" t="s">
        <v>399</v>
      </c>
      <c r="T83" s="89">
        <v>3</v>
      </c>
      <c r="U83" s="89"/>
      <c r="V83" s="89"/>
    </row>
    <row r="84" spans="1:22" ht="15">
      <c r="A84" s="90" t="s">
        <v>433</v>
      </c>
      <c r="B84" s="89">
        <v>5</v>
      </c>
      <c r="C84" s="89" t="s">
        <v>512</v>
      </c>
      <c r="D84" s="89">
        <v>1</v>
      </c>
      <c r="E84" s="89" t="s">
        <v>462</v>
      </c>
      <c r="F84" s="89">
        <v>2</v>
      </c>
      <c r="G84" s="89" t="s">
        <v>447</v>
      </c>
      <c r="H84" s="89">
        <v>4</v>
      </c>
      <c r="I84" s="89" t="s">
        <v>445</v>
      </c>
      <c r="J84" s="89">
        <v>2</v>
      </c>
      <c r="K84" s="89" t="s">
        <v>350</v>
      </c>
      <c r="L84" s="89">
        <v>1</v>
      </c>
      <c r="M84" s="89" t="s">
        <v>519</v>
      </c>
      <c r="N84" s="89">
        <v>1</v>
      </c>
      <c r="O84" s="89" t="s">
        <v>390</v>
      </c>
      <c r="P84" s="89">
        <v>1</v>
      </c>
      <c r="Q84" s="89" t="s">
        <v>416</v>
      </c>
      <c r="R84" s="89">
        <v>1</v>
      </c>
      <c r="S84" s="89" t="s">
        <v>398</v>
      </c>
      <c r="T84" s="89">
        <v>3</v>
      </c>
      <c r="U84" s="89"/>
      <c r="V84" s="89"/>
    </row>
    <row r="85" spans="1:22" ht="15">
      <c r="A85" s="90" t="s">
        <v>388</v>
      </c>
      <c r="B85" s="89">
        <v>5</v>
      </c>
      <c r="C85" s="89" t="s">
        <v>458</v>
      </c>
      <c r="D85" s="89">
        <v>1</v>
      </c>
      <c r="E85" s="89" t="s">
        <v>510</v>
      </c>
      <c r="F85" s="89">
        <v>1</v>
      </c>
      <c r="G85" s="89" t="s">
        <v>324</v>
      </c>
      <c r="H85" s="89">
        <v>2</v>
      </c>
      <c r="I85" s="89" t="s">
        <v>444</v>
      </c>
      <c r="J85" s="89">
        <v>2</v>
      </c>
      <c r="K85" s="89" t="s">
        <v>431</v>
      </c>
      <c r="L85" s="89">
        <v>1</v>
      </c>
      <c r="M85" s="89" t="s">
        <v>518</v>
      </c>
      <c r="N85" s="89">
        <v>1</v>
      </c>
      <c r="O85" s="89"/>
      <c r="P85" s="89"/>
      <c r="Q85" s="89" t="s">
        <v>415</v>
      </c>
      <c r="R85" s="89">
        <v>1</v>
      </c>
      <c r="S85" s="89" t="s">
        <v>431</v>
      </c>
      <c r="T85" s="89">
        <v>1</v>
      </c>
      <c r="U85" s="89"/>
      <c r="V85" s="89"/>
    </row>
    <row r="86" spans="1:22" ht="15">
      <c r="A86" s="90" t="s">
        <v>372</v>
      </c>
      <c r="B86" s="89">
        <v>4</v>
      </c>
      <c r="C86" s="89" t="s">
        <v>302</v>
      </c>
      <c r="D86" s="89">
        <v>1</v>
      </c>
      <c r="E86" s="89" t="s">
        <v>483</v>
      </c>
      <c r="F86" s="89">
        <v>1</v>
      </c>
      <c r="G86" s="89" t="s">
        <v>494</v>
      </c>
      <c r="H86" s="89">
        <v>2</v>
      </c>
      <c r="I86" s="89" t="s">
        <v>443</v>
      </c>
      <c r="J86" s="89">
        <v>2</v>
      </c>
      <c r="K86" s="89" t="s">
        <v>430</v>
      </c>
      <c r="L86" s="89">
        <v>1</v>
      </c>
      <c r="M86" s="89" t="s">
        <v>494</v>
      </c>
      <c r="N86" s="89">
        <v>1</v>
      </c>
      <c r="O86" s="89"/>
      <c r="P86" s="89"/>
      <c r="Q86" s="89" t="s">
        <v>307</v>
      </c>
      <c r="R86" s="89">
        <v>1</v>
      </c>
      <c r="S86" s="89" t="s">
        <v>430</v>
      </c>
      <c r="T86" s="89">
        <v>1</v>
      </c>
      <c r="U86" s="89"/>
      <c r="V86" s="89"/>
    </row>
    <row r="87" spans="1:22" ht="15">
      <c r="A87" s="90" t="s">
        <v>449</v>
      </c>
      <c r="B87" s="89">
        <v>4</v>
      </c>
      <c r="C87" s="89" t="s">
        <v>424</v>
      </c>
      <c r="D87" s="89">
        <v>1</v>
      </c>
      <c r="E87" s="89" t="s">
        <v>478</v>
      </c>
      <c r="F87" s="89">
        <v>1</v>
      </c>
      <c r="G87" s="89" t="s">
        <v>390</v>
      </c>
      <c r="H87" s="89">
        <v>2</v>
      </c>
      <c r="I87" s="89" t="s">
        <v>442</v>
      </c>
      <c r="J87" s="89">
        <v>2</v>
      </c>
      <c r="K87" s="89" t="s">
        <v>502</v>
      </c>
      <c r="L87" s="89">
        <v>1</v>
      </c>
      <c r="M87" s="89" t="s">
        <v>295</v>
      </c>
      <c r="N87" s="89">
        <v>1</v>
      </c>
      <c r="O87" s="89"/>
      <c r="P87" s="89"/>
      <c r="Q87" s="89" t="s">
        <v>413</v>
      </c>
      <c r="R87" s="89">
        <v>1</v>
      </c>
      <c r="S87" s="89" t="s">
        <v>248</v>
      </c>
      <c r="T87" s="89">
        <v>1</v>
      </c>
      <c r="U87" s="89"/>
      <c r="V87" s="89"/>
    </row>
    <row r="88" spans="1:22" ht="15">
      <c r="A88" s="90" t="s">
        <v>448</v>
      </c>
      <c r="B88" s="89">
        <v>4</v>
      </c>
      <c r="C88" s="89" t="s">
        <v>378</v>
      </c>
      <c r="D88" s="89">
        <v>1</v>
      </c>
      <c r="E88" s="89" t="s">
        <v>476</v>
      </c>
      <c r="F88" s="89">
        <v>1</v>
      </c>
      <c r="G88" s="89" t="s">
        <v>506</v>
      </c>
      <c r="H88" s="89">
        <v>1</v>
      </c>
      <c r="I88" s="89" t="s">
        <v>441</v>
      </c>
      <c r="J88" s="89">
        <v>2</v>
      </c>
      <c r="K88" s="89" t="s">
        <v>500</v>
      </c>
      <c r="L88" s="89">
        <v>1</v>
      </c>
      <c r="M88" s="89" t="s">
        <v>492</v>
      </c>
      <c r="N88" s="89">
        <v>1</v>
      </c>
      <c r="O88" s="89"/>
      <c r="P88" s="89"/>
      <c r="Q88" s="89" t="s">
        <v>421</v>
      </c>
      <c r="R88" s="89">
        <v>1</v>
      </c>
      <c r="S88" s="89" t="s">
        <v>249</v>
      </c>
      <c r="T88" s="89">
        <v>1</v>
      </c>
      <c r="U88" s="89"/>
      <c r="V88" s="89"/>
    </row>
    <row r="89" spans="1:22" ht="15">
      <c r="A89" s="90" t="s">
        <v>447</v>
      </c>
      <c r="B89" s="89">
        <v>4</v>
      </c>
      <c r="C89" s="89" t="s">
        <v>431</v>
      </c>
      <c r="D89" s="89">
        <v>1</v>
      </c>
      <c r="E89" s="89" t="s">
        <v>292</v>
      </c>
      <c r="F89" s="89">
        <v>1</v>
      </c>
      <c r="G89" s="89" t="s">
        <v>504</v>
      </c>
      <c r="H89" s="89">
        <v>1</v>
      </c>
      <c r="I89" s="89" t="s">
        <v>440</v>
      </c>
      <c r="J89" s="89">
        <v>2</v>
      </c>
      <c r="K89" s="89" t="s">
        <v>2790</v>
      </c>
      <c r="L89" s="89">
        <v>1</v>
      </c>
      <c r="M89" s="89" t="s">
        <v>491</v>
      </c>
      <c r="N89" s="89">
        <v>1</v>
      </c>
      <c r="O89" s="89"/>
      <c r="P89" s="89"/>
      <c r="Q89" s="89"/>
      <c r="R89" s="89"/>
      <c r="S89" s="89"/>
      <c r="T89" s="89"/>
      <c r="U89" s="89"/>
      <c r="V89" s="89"/>
    </row>
    <row r="92" spans="1:22" ht="14.4" customHeight="1">
      <c r="A92" s="13" t="s">
        <v>5466</v>
      </c>
      <c r="B92" s="13" t="s">
        <v>5198</v>
      </c>
      <c r="C92" s="13" t="s">
        <v>5467</v>
      </c>
      <c r="D92" s="13" t="s">
        <v>5205</v>
      </c>
      <c r="E92" s="13" t="s">
        <v>5468</v>
      </c>
      <c r="F92" s="13" t="s">
        <v>5212</v>
      </c>
      <c r="G92" s="13" t="s">
        <v>5469</v>
      </c>
      <c r="H92" s="13" t="s">
        <v>5215</v>
      </c>
      <c r="I92" s="13" t="s">
        <v>5470</v>
      </c>
      <c r="J92" s="13" t="s">
        <v>5217</v>
      </c>
      <c r="K92" s="13" t="s">
        <v>5471</v>
      </c>
      <c r="L92" s="13" t="s">
        <v>5221</v>
      </c>
      <c r="M92" s="13" t="s">
        <v>5472</v>
      </c>
      <c r="N92" s="13" t="s">
        <v>5223</v>
      </c>
      <c r="O92" s="13" t="s">
        <v>5473</v>
      </c>
      <c r="P92" s="13" t="s">
        <v>5225</v>
      </c>
      <c r="Q92" s="13" t="s">
        <v>5474</v>
      </c>
      <c r="R92" s="13" t="s">
        <v>5229</v>
      </c>
      <c r="S92" s="13" t="s">
        <v>5475</v>
      </c>
      <c r="T92" s="13" t="s">
        <v>5231</v>
      </c>
      <c r="U92" s="13" t="s">
        <v>5476</v>
      </c>
      <c r="V92" s="13" t="s">
        <v>5234</v>
      </c>
    </row>
    <row r="93" spans="1:22" ht="15">
      <c r="A93" s="113" t="s">
        <v>510</v>
      </c>
      <c r="B93" s="89">
        <v>302331</v>
      </c>
      <c r="C93" s="113" t="s">
        <v>433</v>
      </c>
      <c r="D93" s="89">
        <v>114454</v>
      </c>
      <c r="E93" s="113" t="s">
        <v>510</v>
      </c>
      <c r="F93" s="89">
        <v>302331</v>
      </c>
      <c r="G93" s="113" t="s">
        <v>481</v>
      </c>
      <c r="H93" s="89">
        <v>236499</v>
      </c>
      <c r="I93" s="113" t="s">
        <v>446</v>
      </c>
      <c r="J93" s="89">
        <v>92876</v>
      </c>
      <c r="K93" s="113" t="s">
        <v>348</v>
      </c>
      <c r="L93" s="89">
        <v>50134</v>
      </c>
      <c r="M93" s="113" t="s">
        <v>384</v>
      </c>
      <c r="N93" s="89">
        <v>259562</v>
      </c>
      <c r="O93" s="113" t="s">
        <v>390</v>
      </c>
      <c r="P93" s="89">
        <v>66920</v>
      </c>
      <c r="Q93" s="113" t="s">
        <v>307</v>
      </c>
      <c r="R93" s="89">
        <v>135012</v>
      </c>
      <c r="S93" s="113" t="s">
        <v>397</v>
      </c>
      <c r="T93" s="89">
        <v>78948</v>
      </c>
      <c r="U93" s="113" t="s">
        <v>332</v>
      </c>
      <c r="V93" s="89">
        <v>36460</v>
      </c>
    </row>
    <row r="94" spans="1:22" ht="15">
      <c r="A94" s="116" t="s">
        <v>384</v>
      </c>
      <c r="B94" s="89">
        <v>259562</v>
      </c>
      <c r="C94" s="113" t="s">
        <v>295</v>
      </c>
      <c r="D94" s="89">
        <v>90546</v>
      </c>
      <c r="E94" s="113" t="s">
        <v>321</v>
      </c>
      <c r="F94" s="89">
        <v>91269</v>
      </c>
      <c r="G94" s="113" t="s">
        <v>289</v>
      </c>
      <c r="H94" s="89">
        <v>131295</v>
      </c>
      <c r="I94" s="113" t="s">
        <v>454</v>
      </c>
      <c r="J94" s="89">
        <v>77676</v>
      </c>
      <c r="K94" s="113" t="s">
        <v>500</v>
      </c>
      <c r="L94" s="89">
        <v>49836</v>
      </c>
      <c r="M94" s="113" t="s">
        <v>383</v>
      </c>
      <c r="N94" s="89">
        <v>246570</v>
      </c>
      <c r="O94" s="113" t="s">
        <v>389</v>
      </c>
      <c r="P94" s="89">
        <v>14292</v>
      </c>
      <c r="Q94" s="113" t="s">
        <v>413</v>
      </c>
      <c r="R94" s="89">
        <v>38167</v>
      </c>
      <c r="S94" s="113" t="s">
        <v>271</v>
      </c>
      <c r="T94" s="89">
        <v>36133</v>
      </c>
      <c r="U94" s="113" t="s">
        <v>331</v>
      </c>
      <c r="V94" s="89">
        <v>14039</v>
      </c>
    </row>
    <row r="95" spans="1:22" ht="15">
      <c r="A95" s="116" t="s">
        <v>383</v>
      </c>
      <c r="B95" s="89">
        <v>246570</v>
      </c>
      <c r="C95" s="113" t="s">
        <v>302</v>
      </c>
      <c r="D95" s="89">
        <v>68928</v>
      </c>
      <c r="E95" s="113" t="s">
        <v>230</v>
      </c>
      <c r="F95" s="89">
        <v>60396</v>
      </c>
      <c r="G95" s="113" t="s">
        <v>286</v>
      </c>
      <c r="H95" s="89">
        <v>68408</v>
      </c>
      <c r="I95" s="113" t="s">
        <v>453</v>
      </c>
      <c r="J95" s="89">
        <v>21251</v>
      </c>
      <c r="K95" s="113" t="s">
        <v>501</v>
      </c>
      <c r="L95" s="89">
        <v>41223</v>
      </c>
      <c r="M95" s="113" t="s">
        <v>494</v>
      </c>
      <c r="N95" s="89">
        <v>183928</v>
      </c>
      <c r="O95" s="113" t="s">
        <v>387</v>
      </c>
      <c r="P95" s="89">
        <v>11095</v>
      </c>
      <c r="Q95" s="113" t="s">
        <v>422</v>
      </c>
      <c r="R95" s="89">
        <v>36443</v>
      </c>
      <c r="S95" s="113" t="s">
        <v>249</v>
      </c>
      <c r="T95" s="89">
        <v>21087</v>
      </c>
      <c r="U95" s="113" t="s">
        <v>237</v>
      </c>
      <c r="V95" s="89">
        <v>4019</v>
      </c>
    </row>
    <row r="96" spans="1:22" ht="15">
      <c r="A96" s="116" t="s">
        <v>481</v>
      </c>
      <c r="B96" s="89">
        <v>236499</v>
      </c>
      <c r="C96" s="113" t="s">
        <v>509</v>
      </c>
      <c r="D96" s="89">
        <v>62248</v>
      </c>
      <c r="E96" s="113" t="s">
        <v>306</v>
      </c>
      <c r="F96" s="89">
        <v>54509</v>
      </c>
      <c r="G96" s="113" t="s">
        <v>504</v>
      </c>
      <c r="H96" s="89">
        <v>66421</v>
      </c>
      <c r="I96" s="113" t="s">
        <v>444</v>
      </c>
      <c r="J96" s="89">
        <v>20058</v>
      </c>
      <c r="K96" s="113" t="s">
        <v>361</v>
      </c>
      <c r="L96" s="89">
        <v>26398</v>
      </c>
      <c r="M96" s="113" t="s">
        <v>341</v>
      </c>
      <c r="N96" s="89">
        <v>107252</v>
      </c>
      <c r="O96" s="113" t="s">
        <v>246</v>
      </c>
      <c r="P96" s="89">
        <v>10129</v>
      </c>
      <c r="Q96" s="113" t="s">
        <v>414</v>
      </c>
      <c r="R96" s="89">
        <v>31336</v>
      </c>
      <c r="S96" s="113" t="s">
        <v>399</v>
      </c>
      <c r="T96" s="89">
        <v>16136</v>
      </c>
      <c r="U96" s="113" t="s">
        <v>236</v>
      </c>
      <c r="V96" s="89">
        <v>3998</v>
      </c>
    </row>
    <row r="97" spans="1:22" ht="15">
      <c r="A97" s="116" t="s">
        <v>380</v>
      </c>
      <c r="B97" s="89">
        <v>232879</v>
      </c>
      <c r="C97" s="113" t="s">
        <v>330</v>
      </c>
      <c r="D97" s="89">
        <v>50378</v>
      </c>
      <c r="E97" s="113" t="s">
        <v>459</v>
      </c>
      <c r="F97" s="89">
        <v>41864</v>
      </c>
      <c r="G97" s="113" t="s">
        <v>450</v>
      </c>
      <c r="H97" s="89">
        <v>51478</v>
      </c>
      <c r="I97" s="113" t="s">
        <v>426</v>
      </c>
      <c r="J97" s="89">
        <v>18251</v>
      </c>
      <c r="K97" s="113" t="s">
        <v>502</v>
      </c>
      <c r="L97" s="89">
        <v>20259</v>
      </c>
      <c r="M97" s="113" t="s">
        <v>488</v>
      </c>
      <c r="N97" s="89">
        <v>89885</v>
      </c>
      <c r="O97" s="113" t="s">
        <v>262</v>
      </c>
      <c r="P97" s="89">
        <v>6972</v>
      </c>
      <c r="Q97" s="113" t="s">
        <v>266</v>
      </c>
      <c r="R97" s="89">
        <v>17300</v>
      </c>
      <c r="S97" s="113" t="s">
        <v>359</v>
      </c>
      <c r="T97" s="89">
        <v>13921</v>
      </c>
      <c r="U97" s="113" t="s">
        <v>386</v>
      </c>
      <c r="V97" s="89">
        <v>770</v>
      </c>
    </row>
    <row r="98" spans="1:22" ht="15">
      <c r="A98" s="116" t="s">
        <v>494</v>
      </c>
      <c r="B98" s="89">
        <v>183928</v>
      </c>
      <c r="C98" s="113" t="s">
        <v>243</v>
      </c>
      <c r="D98" s="89">
        <v>32570</v>
      </c>
      <c r="E98" s="113" t="s">
        <v>372</v>
      </c>
      <c r="F98" s="89">
        <v>34917</v>
      </c>
      <c r="G98" s="113" t="s">
        <v>342</v>
      </c>
      <c r="H98" s="89">
        <v>44912</v>
      </c>
      <c r="I98" s="113" t="s">
        <v>228</v>
      </c>
      <c r="J98" s="89">
        <v>17843</v>
      </c>
      <c r="K98" s="113" t="s">
        <v>349</v>
      </c>
      <c r="L98" s="89">
        <v>15345</v>
      </c>
      <c r="M98" s="113" t="s">
        <v>493</v>
      </c>
      <c r="N98" s="89">
        <v>48068</v>
      </c>
      <c r="O98" s="113" t="s">
        <v>388</v>
      </c>
      <c r="P98" s="89">
        <v>4194</v>
      </c>
      <c r="Q98" s="113" t="s">
        <v>415</v>
      </c>
      <c r="R98" s="89">
        <v>9208</v>
      </c>
      <c r="S98" s="113" t="s">
        <v>248</v>
      </c>
      <c r="T98" s="89">
        <v>7445</v>
      </c>
      <c r="U98" s="113" t="s">
        <v>480</v>
      </c>
      <c r="V98" s="89">
        <v>41</v>
      </c>
    </row>
    <row r="99" spans="1:22" ht="15">
      <c r="A99" s="116" t="s">
        <v>307</v>
      </c>
      <c r="B99" s="89">
        <v>135012</v>
      </c>
      <c r="C99" s="113" t="s">
        <v>357</v>
      </c>
      <c r="D99" s="89">
        <v>30872</v>
      </c>
      <c r="E99" s="113" t="s">
        <v>292</v>
      </c>
      <c r="F99" s="89">
        <v>33881</v>
      </c>
      <c r="G99" s="113" t="s">
        <v>448</v>
      </c>
      <c r="H99" s="89">
        <v>31194</v>
      </c>
      <c r="I99" s="113" t="s">
        <v>455</v>
      </c>
      <c r="J99" s="89">
        <v>16153</v>
      </c>
      <c r="K99" s="113" t="s">
        <v>436</v>
      </c>
      <c r="L99" s="89">
        <v>14829</v>
      </c>
      <c r="M99" s="113" t="s">
        <v>403</v>
      </c>
      <c r="N99" s="89">
        <v>42976</v>
      </c>
      <c r="O99" s="113" t="s">
        <v>245</v>
      </c>
      <c r="P99" s="89">
        <v>2183</v>
      </c>
      <c r="Q99" s="113" t="s">
        <v>416</v>
      </c>
      <c r="R99" s="89">
        <v>4657</v>
      </c>
      <c r="S99" s="113" t="s">
        <v>398</v>
      </c>
      <c r="T99" s="89">
        <v>7357</v>
      </c>
      <c r="U99" s="113"/>
      <c r="V99" s="89"/>
    </row>
    <row r="100" spans="1:22" ht="15">
      <c r="A100" s="116" t="s">
        <v>289</v>
      </c>
      <c r="B100" s="89">
        <v>131295</v>
      </c>
      <c r="C100" s="113" t="s">
        <v>466</v>
      </c>
      <c r="D100" s="89">
        <v>24538</v>
      </c>
      <c r="E100" s="113" t="s">
        <v>269</v>
      </c>
      <c r="F100" s="89">
        <v>31292</v>
      </c>
      <c r="G100" s="113" t="s">
        <v>505</v>
      </c>
      <c r="H100" s="89">
        <v>19858</v>
      </c>
      <c r="I100" s="113" t="s">
        <v>440</v>
      </c>
      <c r="J100" s="89">
        <v>15960</v>
      </c>
      <c r="K100" s="113" t="s">
        <v>273</v>
      </c>
      <c r="L100" s="89">
        <v>12997</v>
      </c>
      <c r="M100" s="113" t="s">
        <v>405</v>
      </c>
      <c r="N100" s="89">
        <v>36327</v>
      </c>
      <c r="O100" s="113" t="s">
        <v>391</v>
      </c>
      <c r="P100" s="89">
        <v>1886</v>
      </c>
      <c r="Q100" s="113" t="s">
        <v>420</v>
      </c>
      <c r="R100" s="89">
        <v>3383</v>
      </c>
      <c r="S100" s="113" t="s">
        <v>396</v>
      </c>
      <c r="T100" s="89">
        <v>4831</v>
      </c>
      <c r="U100" s="113"/>
      <c r="V100" s="89"/>
    </row>
    <row r="101" spans="1:22" ht="15">
      <c r="A101" s="116" t="s">
        <v>433</v>
      </c>
      <c r="B101" s="89">
        <v>114454</v>
      </c>
      <c r="C101" s="113" t="s">
        <v>293</v>
      </c>
      <c r="D101" s="89">
        <v>19733</v>
      </c>
      <c r="E101" s="113" t="s">
        <v>297</v>
      </c>
      <c r="F101" s="89">
        <v>30967</v>
      </c>
      <c r="G101" s="113" t="s">
        <v>506</v>
      </c>
      <c r="H101" s="89">
        <v>18752</v>
      </c>
      <c r="I101" s="113" t="s">
        <v>452</v>
      </c>
      <c r="J101" s="89">
        <v>15304</v>
      </c>
      <c r="K101" s="113" t="s">
        <v>350</v>
      </c>
      <c r="L101" s="89">
        <v>12649</v>
      </c>
      <c r="M101" s="113" t="s">
        <v>489</v>
      </c>
      <c r="N101" s="89">
        <v>32440</v>
      </c>
      <c r="O101" s="113" t="s">
        <v>240</v>
      </c>
      <c r="P101" s="89">
        <v>1847</v>
      </c>
      <c r="Q101" s="113" t="s">
        <v>265</v>
      </c>
      <c r="R101" s="89">
        <v>2839</v>
      </c>
      <c r="S101" s="113"/>
      <c r="T101" s="89"/>
      <c r="U101" s="113"/>
      <c r="V101" s="89"/>
    </row>
    <row r="102" spans="1:22" ht="15">
      <c r="A102" s="116" t="s">
        <v>341</v>
      </c>
      <c r="B102" s="89">
        <v>107252</v>
      </c>
      <c r="C102" s="113" t="s">
        <v>371</v>
      </c>
      <c r="D102" s="89">
        <v>19276</v>
      </c>
      <c r="E102" s="113" t="s">
        <v>460</v>
      </c>
      <c r="F102" s="89">
        <v>30533</v>
      </c>
      <c r="G102" s="113" t="s">
        <v>367</v>
      </c>
      <c r="H102" s="89">
        <v>16067</v>
      </c>
      <c r="I102" s="113" t="s">
        <v>441</v>
      </c>
      <c r="J102" s="89">
        <v>11854</v>
      </c>
      <c r="K102" s="113" t="s">
        <v>282</v>
      </c>
      <c r="L102" s="89">
        <v>11872</v>
      </c>
      <c r="M102" s="113" t="s">
        <v>376</v>
      </c>
      <c r="N102" s="89">
        <v>21329</v>
      </c>
      <c r="O102" s="113" t="s">
        <v>393</v>
      </c>
      <c r="P102" s="89">
        <v>1002</v>
      </c>
      <c r="Q102" s="113" t="s">
        <v>421</v>
      </c>
      <c r="R102" s="89">
        <v>2541</v>
      </c>
      <c r="S102" s="113"/>
      <c r="T102" s="89"/>
      <c r="U102" s="113"/>
      <c r="V102" s="89"/>
    </row>
  </sheetData>
  <hyperlinks>
    <hyperlink ref="A2" r:id="rId1" display="https://twitter.com/millatiuni/status/1466446380843606025"/>
    <hyperlink ref="A3" r:id="rId2" display="https://twitter.com/KorpinenLaura/status/1465773688918364174"/>
    <hyperlink ref="A4" r:id="rId3" display="https://tfiglobalnews.com/2021/11/08/japan-crushes-big-pharma-with-a-small-yet-effective-move/"/>
    <hyperlink ref="A5" r:id="rId4" display="https://www.mediuutiset.fi/uutiset/suomalainen-koronalaake-sai-patentin-nenasumutelaake-auttaa-erityisesti-jos-rokotekattavuus-uhkaa-jaada-liian-matalaksi-sanoo-keksija/4a819848-a71a-423d-b6bc-c9f605667af2"/>
    <hyperlink ref="A6" r:id="rId5" display="https://www.iltalehti.fi/terveysuutiset/a/267d645a-c545-4161-aa04-bc742a580248"/>
    <hyperlink ref="A7" r:id="rId6" display="https://twitter.com/OKuokka/status/1448586562934018050"/>
    <hyperlink ref="A8" r:id="rId7" display="https://fi.wikipedia.org/wiki/Ivermektiini"/>
    <hyperlink ref="A9" r:id="rId8" display="https://www.merck.com/docs/product/safety-data-sheets/ah-sds/Ivermectin%20(3.5_pct)%20Formulation_AH_IE_6N.pdf"/>
    <hyperlink ref="A10" r:id="rId9" display="https://www.thegatewaypundit.com/2021/11/now-365-studies-prove-efficacy-ivermectin-hcq-treating-covid-19-will-anyone-confront-fauci-medical-elites-deception/"/>
    <hyperlink ref="A11" r:id="rId10" display="https://yle.fi/uutiset/3-11916413"/>
    <hyperlink ref="C2" r:id="rId11" display="https://twitter.com/millatiuni/status/1466446380843606025"/>
    <hyperlink ref="C3" r:id="rId12" display="https://twitter.com/KorpinenLaura/status/1465773688918364174"/>
    <hyperlink ref="C4" r:id="rId13" display="https://tfiglobalnews.com/2021/11/08/japan-crushes-big-pharma-with-a-small-yet-effective-move/"/>
    <hyperlink ref="C5" r:id="rId14" display="https://www.iltalehti.fi/terveysuutiset/a/267d645a-c545-4161-aa04-bc742a580248"/>
    <hyperlink ref="C6" r:id="rId15" display="https://twitter.com/OKuokka/status/1448586562934018050"/>
    <hyperlink ref="C7" r:id="rId16" display="https://yle.fi/uutiset/3-11916413"/>
    <hyperlink ref="C8" r:id="rId17" display="https://twitter.com/OKuokka/status/1463819121091563522"/>
    <hyperlink ref="C9" r:id="rId18" display="https://www.duodecimlehti.fi/duo12889"/>
    <hyperlink ref="C10" r:id="rId19" display="https://m.xkcd.com/1217/"/>
    <hyperlink ref="C11" r:id="rId20" display="https://koronarealistit.com/mikko-paunio-sulkutoimet-pois-ivermektiini-ja-d-vitamiini-kayttoon-big-pharman-hyysays-saa-loppua/"/>
    <hyperlink ref="E2" r:id="rId21" display="https://fi.wikipedia.org/wiki/Ivermektiini"/>
    <hyperlink ref="E3" r:id="rId22" display="https://www.merck.com/docs/product/safety-data-sheets/ah-sds/Ivermectin%20(3.5_pct)%20Formulation_AH_IE_6N.pdf"/>
    <hyperlink ref="E4" r:id="rId23" display="https://www.covid19treatmentguidelines.nih.gov/tables/table-2e/"/>
    <hyperlink ref="E5" r:id="rId24" display="https://www.nobelprize.org/prizes/medicine/2015/press-release/"/>
    <hyperlink ref="E6" r:id="rId25" display="https://www.mediuutiset.fi/uutiset/suomalainen-koronalaake-sai-patentin-nenasumutelaake-auttaa-erityisesti-jos-rokotekattavuus-uhkaa-jaada-liian-matalaksi-sanoo-keksija/4a819848-a71a-423d-b6bc-c9f605667af2"/>
    <hyperlink ref="E7" r:id="rId26" display="https://twitter.com/MikaelNiku/status/1465643529154277378"/>
    <hyperlink ref="E8" r:id="rId27" display="https://ebm.bmj.com/content/early/2021/05/26/bmjebm-2021-111678"/>
    <hyperlink ref="E9" r:id="rId28" display="https://ivmmeta.com/"/>
    <hyperlink ref="G2" r:id="rId29" display="https://twitter.com/millatiuni/status/1466446380843606025"/>
    <hyperlink ref="G3" r:id="rId30" display="https://www.thegatewaypundit.com/2021/11/now-365-studies-prove-efficacy-ivermectin-hcq-treating-covid-19-will-anyone-confront-fauci-medical-elites-deception/"/>
    <hyperlink ref="G4" r:id="rId31" display="https://pubmed.ncbi.nlm.nih.gov/34466270/"/>
    <hyperlink ref="G5" r:id="rId32" display="https://secure.jbs.elsevierhealth.com/action/getSharedSiteSession?redirect=https%3A%2F%2Fwww.thelancet.com%2Fjournals%2Flanepe%2Farticle%2FPIIS2666-7762%2821%2900258-1%2Ffulltext%3Fs%3D08%26fbclid%3DIwAR26JHRPQC0fWgEDr3tbyVwMvJhtMzhPXFcFlACyBwRgIHHZK9EozoZu6vA&amp;rc=0"/>
    <hyperlink ref="I2" r:id="rId33" display="https://twitter.com/millatiuni/status/1466446380843606025"/>
    <hyperlink ref="K2" r:id="rId34" display="https://www.reddit.com/r/conspiracy/comments/pkcl0k/im_a_physician_from_egypt_thats_the_latest_update/"/>
    <hyperlink ref="K3" r:id="rId35" display="https://twitter.com/millatiuni/status/1466446380843606025"/>
    <hyperlink ref="K4" r:id="rId36" display="https://www.worldometers.info/coronavirus/"/>
    <hyperlink ref="M2" r:id="rId37" display="https://twitter.com/millatiuni/status/1466446380843606025"/>
    <hyperlink ref="Q2" r:id="rId38" display="https://c19early.com/"/>
    <hyperlink ref="Q3" r:id="rId39" display="https://twitter.com/Tommi_Kinnunen/status/1465795338552459274"/>
    <hyperlink ref="U2" r:id="rId40" display="https://eu.usatoday.com/story/news/factcheck/2021/05/21/fact-check-india-covid-19-cases-hydroxychloroquine-not-related/5173021001/"/>
    <hyperlink ref="U3" r:id="rId41" display="https://eu.usatoday.com/story/news/factcheck/2021/05/11/fact-check-indias-covid-19-surge-not-connected-vaccinations/4988690001/"/>
  </hyperlinks>
  <printOptions/>
  <pageMargins left="0.7" right="0.7" top="0.75" bottom="0.75" header="0.3" footer="0.3"/>
  <pageSetup orientation="portrait" paperSize="9"/>
  <tableParts>
    <tablePart r:id="rId46"/>
    <tablePart r:id="rId42"/>
    <tablePart r:id="rId49"/>
    <tablePart r:id="rId48"/>
    <tablePart r:id="rId45"/>
    <tablePart r:id="rId47"/>
    <tablePart r:id="rId43"/>
    <tablePart r:id="rId4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9"/>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1455</v>
      </c>
      <c r="AE2" s="13" t="s">
        <v>1456</v>
      </c>
      <c r="AF2" s="13" t="s">
        <v>1457</v>
      </c>
      <c r="AG2" s="13" t="s">
        <v>1458</v>
      </c>
      <c r="AH2" s="13" t="s">
        <v>1459</v>
      </c>
      <c r="AI2" s="13" t="s">
        <v>1460</v>
      </c>
      <c r="AJ2" s="13" t="s">
        <v>1461</v>
      </c>
      <c r="AK2" s="13" t="s">
        <v>1462</v>
      </c>
      <c r="AL2" s="13" t="s">
        <v>1463</v>
      </c>
      <c r="AM2" s="13" t="s">
        <v>1464</v>
      </c>
      <c r="AN2" s="13" t="s">
        <v>1465</v>
      </c>
      <c r="AO2" s="13" t="s">
        <v>1466</v>
      </c>
      <c r="AP2" s="13" t="s">
        <v>1467</v>
      </c>
      <c r="AQ2" s="13" t="s">
        <v>1468</v>
      </c>
      <c r="AR2" s="13" t="s">
        <v>1469</v>
      </c>
      <c r="AS2" s="13" t="s">
        <v>1470</v>
      </c>
      <c r="AT2" s="13" t="s">
        <v>205</v>
      </c>
      <c r="AU2" s="13" t="s">
        <v>1471</v>
      </c>
      <c r="AV2" s="13" t="s">
        <v>1472</v>
      </c>
      <c r="AW2" s="13" t="s">
        <v>1473</v>
      </c>
      <c r="AX2" s="13" t="s">
        <v>1474</v>
      </c>
      <c r="AY2" s="13" t="s">
        <v>1475</v>
      </c>
      <c r="AZ2" s="13" t="s">
        <v>1476</v>
      </c>
      <c r="BA2" s="13" t="s">
        <v>2647</v>
      </c>
      <c r="BB2" s="119" t="s">
        <v>3123</v>
      </c>
      <c r="BC2" s="119" t="s">
        <v>3124</v>
      </c>
      <c r="BD2" s="119" t="s">
        <v>3125</v>
      </c>
      <c r="BE2" s="119" t="s">
        <v>3126</v>
      </c>
      <c r="BF2" s="119" t="s">
        <v>3127</v>
      </c>
      <c r="BG2" s="119" t="s">
        <v>3128</v>
      </c>
      <c r="BH2" s="119" t="s">
        <v>3129</v>
      </c>
      <c r="BI2" s="119" t="s">
        <v>3130</v>
      </c>
      <c r="BJ2" s="119" t="s">
        <v>3132</v>
      </c>
      <c r="BK2" s="119" t="s">
        <v>5506</v>
      </c>
      <c r="BL2" s="119" t="s">
        <v>5517</v>
      </c>
      <c r="BM2" s="119" t="s">
        <v>5519</v>
      </c>
      <c r="BN2" s="119" t="s">
        <v>5528</v>
      </c>
      <c r="BO2" s="119" t="s">
        <v>5531</v>
      </c>
      <c r="BP2" s="119" t="s">
        <v>5533</v>
      </c>
      <c r="BQ2" s="119" t="s">
        <v>5535</v>
      </c>
      <c r="BR2" s="119" t="s">
        <v>5651</v>
      </c>
      <c r="BS2" s="119" t="s">
        <v>5687</v>
      </c>
      <c r="BT2" s="119" t="s">
        <v>5800</v>
      </c>
      <c r="BU2" s="3"/>
      <c r="BV2" s="3"/>
    </row>
    <row r="3" spans="1:74" ht="15" customHeight="1">
      <c r="A3" s="65" t="s">
        <v>225</v>
      </c>
      <c r="B3" s="66"/>
      <c r="C3" s="66" t="s">
        <v>46</v>
      </c>
      <c r="D3" s="67"/>
      <c r="E3" s="69"/>
      <c r="F3" s="111" t="str">
        <f>HYPERLINK("https://pbs.twimg.com/profile_images/570894576836038656/i6dHL9Sn_normal.jpeg")</f>
        <v>https://pbs.twimg.com/profile_images/570894576836038656/i6dHL9Sn_normal.jpeg</v>
      </c>
      <c r="G3" s="66"/>
      <c r="H3" s="70" t="s">
        <v>225</v>
      </c>
      <c r="I3" s="71" t="s">
        <v>5818</v>
      </c>
      <c r="J3" s="71" t="s">
        <v>73</v>
      </c>
      <c r="K3" s="70" t="s">
        <v>2597</v>
      </c>
      <c r="L3" s="74">
        <v>1</v>
      </c>
      <c r="M3" s="75">
        <v>488.2586975097656</v>
      </c>
      <c r="N3" s="75">
        <v>7259.216796875</v>
      </c>
      <c r="O3" s="76"/>
      <c r="P3" s="77"/>
      <c r="Q3" s="77"/>
      <c r="R3" s="49"/>
      <c r="S3" s="49">
        <v>0</v>
      </c>
      <c r="T3" s="49">
        <v>3</v>
      </c>
      <c r="U3" s="50">
        <v>0.5</v>
      </c>
      <c r="V3" s="50">
        <v>0.000796</v>
      </c>
      <c r="W3" s="50">
        <v>0.001878</v>
      </c>
      <c r="X3" s="50">
        <v>0.799487</v>
      </c>
      <c r="Y3" s="50">
        <v>0.3333333333333333</v>
      </c>
      <c r="Z3" s="50">
        <v>0</v>
      </c>
      <c r="AA3" s="72">
        <v>3</v>
      </c>
      <c r="AB3" s="72"/>
      <c r="AC3" s="73"/>
      <c r="AD3" s="89" t="s">
        <v>1771</v>
      </c>
      <c r="AE3" s="102" t="s">
        <v>1966</v>
      </c>
      <c r="AF3" s="89">
        <v>448</v>
      </c>
      <c r="AG3" s="89">
        <v>318</v>
      </c>
      <c r="AH3" s="89">
        <v>16940</v>
      </c>
      <c r="AI3" s="89">
        <v>28950</v>
      </c>
      <c r="AJ3" s="89"/>
      <c r="AK3" s="89"/>
      <c r="AL3" s="89"/>
      <c r="AM3" s="89"/>
      <c r="AN3" s="89"/>
      <c r="AO3" s="92">
        <v>42058.52967592593</v>
      </c>
      <c r="AP3" s="89"/>
      <c r="AQ3" s="89" t="b">
        <v>1</v>
      </c>
      <c r="AR3" s="89" t="b">
        <v>0</v>
      </c>
      <c r="AS3" s="89" t="b">
        <v>0</v>
      </c>
      <c r="AT3" s="89"/>
      <c r="AU3" s="89">
        <v>0</v>
      </c>
      <c r="AV3" s="95" t="str">
        <f>HYPERLINK("https://abs.twimg.com/images/themes/theme1/bg.png")</f>
        <v>https://abs.twimg.com/images/themes/theme1/bg.png</v>
      </c>
      <c r="AW3" s="89" t="b">
        <v>0</v>
      </c>
      <c r="AX3" s="89" t="s">
        <v>2300</v>
      </c>
      <c r="AY3" s="95" t="str">
        <f>HYPERLINK("https://twitter.com/icecleverheart")</f>
        <v>https://twitter.com/icecleverheart</v>
      </c>
      <c r="AZ3" s="89" t="s">
        <v>66</v>
      </c>
      <c r="BA3" s="89" t="str">
        <f>REPLACE(INDEX(GroupVertices[Group],MATCH(Vertices[[#This Row],[Vertex]],GroupVertices[Vertex],0)),1,1,"")</f>
        <v>1</v>
      </c>
      <c r="BB3" s="49">
        <v>0</v>
      </c>
      <c r="BC3" s="50">
        <v>0</v>
      </c>
      <c r="BD3" s="49">
        <v>0</v>
      </c>
      <c r="BE3" s="50">
        <v>0</v>
      </c>
      <c r="BF3" s="49">
        <v>0</v>
      </c>
      <c r="BG3" s="50">
        <v>0</v>
      </c>
      <c r="BH3" s="49">
        <v>29</v>
      </c>
      <c r="BI3" s="50">
        <v>100</v>
      </c>
      <c r="BJ3" s="49">
        <v>29</v>
      </c>
      <c r="BK3" s="49" t="s">
        <v>5190</v>
      </c>
      <c r="BL3" s="49" t="s">
        <v>5190</v>
      </c>
      <c r="BM3" s="49" t="s">
        <v>689</v>
      </c>
      <c r="BN3" s="49" t="s">
        <v>689</v>
      </c>
      <c r="BO3" s="49"/>
      <c r="BP3" s="49"/>
      <c r="BQ3" s="123" t="s">
        <v>5536</v>
      </c>
      <c r="BR3" s="123" t="s">
        <v>5536</v>
      </c>
      <c r="BS3" s="123" t="s">
        <v>5688</v>
      </c>
      <c r="BT3" s="123" t="s">
        <v>5688</v>
      </c>
      <c r="BU3" s="3"/>
      <c r="BV3" s="3"/>
    </row>
    <row r="4" spans="1:77" ht="15">
      <c r="A4" s="65" t="s">
        <v>433</v>
      </c>
      <c r="B4" s="66"/>
      <c r="C4" s="66" t="s">
        <v>64</v>
      </c>
      <c r="D4" s="67">
        <v>775.9685583243923</v>
      </c>
      <c r="E4" s="69"/>
      <c r="F4" s="111" t="str">
        <f>HYPERLINK("https://pbs.twimg.com/profile_images/1355447288580206594/Xq21nWwY_normal.jpg")</f>
        <v>https://pbs.twimg.com/profile_images/1355447288580206594/Xq21nWwY_normal.jpg</v>
      </c>
      <c r="G4" s="66"/>
      <c r="H4" s="70" t="s">
        <v>433</v>
      </c>
      <c r="I4" s="71" t="s">
        <v>5818</v>
      </c>
      <c r="J4" s="71" t="s">
        <v>75</v>
      </c>
      <c r="K4" s="70" t="s">
        <v>2301</v>
      </c>
      <c r="L4" s="74">
        <v>1905.3809523809523</v>
      </c>
      <c r="M4" s="75">
        <v>820.5725708007812</v>
      </c>
      <c r="N4" s="75">
        <v>6998.05859375</v>
      </c>
      <c r="O4" s="76"/>
      <c r="P4" s="77"/>
      <c r="Q4" s="77"/>
      <c r="R4" s="104"/>
      <c r="S4" s="49">
        <v>4</v>
      </c>
      <c r="T4" s="49">
        <v>0</v>
      </c>
      <c r="U4" s="50">
        <v>185.093679</v>
      </c>
      <c r="V4" s="50">
        <v>0.000968</v>
      </c>
      <c r="W4" s="50">
        <v>0.005089</v>
      </c>
      <c r="X4" s="50">
        <v>0.992379</v>
      </c>
      <c r="Y4" s="50">
        <v>0.25</v>
      </c>
      <c r="Z4" s="50">
        <v>0</v>
      </c>
      <c r="AA4" s="72">
        <v>4</v>
      </c>
      <c r="AB4" s="72"/>
      <c r="AC4" s="73"/>
      <c r="AD4" s="89" t="s">
        <v>1477</v>
      </c>
      <c r="AE4" s="102" t="s">
        <v>1772</v>
      </c>
      <c r="AF4" s="89">
        <v>1097</v>
      </c>
      <c r="AG4" s="89">
        <v>22061</v>
      </c>
      <c r="AH4" s="89">
        <v>114454</v>
      </c>
      <c r="AI4" s="89">
        <v>152813</v>
      </c>
      <c r="AJ4" s="89"/>
      <c r="AK4" s="89" t="s">
        <v>1967</v>
      </c>
      <c r="AL4" s="89" t="s">
        <v>2211</v>
      </c>
      <c r="AM4" s="95" t="str">
        <f>HYPERLINK("https://t.co/EejpaOzeyT")</f>
        <v>https://t.co/EejpaOzeyT</v>
      </c>
      <c r="AN4" s="89"/>
      <c r="AO4" s="92">
        <v>41443.33924768519</v>
      </c>
      <c r="AP4" s="95" t="str">
        <f>HYPERLINK("https://pbs.twimg.com/profile_banners/1527117008/1510083918")</f>
        <v>https://pbs.twimg.com/profile_banners/1527117008/1510083918</v>
      </c>
      <c r="AQ4" s="89" t="b">
        <v>1</v>
      </c>
      <c r="AR4" s="89" t="b">
        <v>0</v>
      </c>
      <c r="AS4" s="89" t="b">
        <v>1</v>
      </c>
      <c r="AT4" s="89"/>
      <c r="AU4" s="89">
        <v>41</v>
      </c>
      <c r="AV4" s="95" t="str">
        <f>HYPERLINK("https://abs.twimg.com/images/themes/theme1/bg.png")</f>
        <v>https://abs.twimg.com/images/themes/theme1/bg.png</v>
      </c>
      <c r="AW4" s="89" t="b">
        <v>0</v>
      </c>
      <c r="AX4" s="89" t="s">
        <v>2300</v>
      </c>
      <c r="AY4" s="95" t="str">
        <f>HYPERLINK("https://twitter.com/koomikkokivi")</f>
        <v>https://twitter.com/koomikkokivi</v>
      </c>
      <c r="AZ4" s="89" t="s">
        <v>65</v>
      </c>
      <c r="BA4" s="8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267</v>
      </c>
      <c r="B5" s="66"/>
      <c r="C5" s="66" t="s">
        <v>64</v>
      </c>
      <c r="D5" s="67">
        <v>617.0157208378039</v>
      </c>
      <c r="E5" s="69"/>
      <c r="F5" s="111" t="str">
        <f>HYPERLINK("https://abs.twimg.com/sticky/default_profile_images/default_profile_normal.png")</f>
        <v>https://abs.twimg.com/sticky/default_profile_images/default_profile_normal.png</v>
      </c>
      <c r="G5" s="66"/>
      <c r="H5" s="70" t="s">
        <v>267</v>
      </c>
      <c r="I5" s="71" t="s">
        <v>5818</v>
      </c>
      <c r="J5" s="71" t="s">
        <v>73</v>
      </c>
      <c r="K5" s="70" t="s">
        <v>2302</v>
      </c>
      <c r="L5" s="74">
        <v>1429.2857142857142</v>
      </c>
      <c r="M5" s="75">
        <v>673.6845703125</v>
      </c>
      <c r="N5" s="75">
        <v>6936.70068359375</v>
      </c>
      <c r="O5" s="76"/>
      <c r="P5" s="77"/>
      <c r="Q5" s="77"/>
      <c r="R5" s="104"/>
      <c r="S5" s="49">
        <v>3</v>
      </c>
      <c r="T5" s="49">
        <v>6</v>
      </c>
      <c r="U5" s="50">
        <v>7509.458289</v>
      </c>
      <c r="V5" s="50">
        <v>0.000986</v>
      </c>
      <c r="W5" s="50">
        <v>0.005914</v>
      </c>
      <c r="X5" s="50">
        <v>2.411219</v>
      </c>
      <c r="Y5" s="50">
        <v>0.08333333333333333</v>
      </c>
      <c r="Z5" s="50">
        <v>0</v>
      </c>
      <c r="AA5" s="72">
        <v>5</v>
      </c>
      <c r="AB5" s="72"/>
      <c r="AC5" s="73"/>
      <c r="AD5" s="89" t="s">
        <v>1478</v>
      </c>
      <c r="AE5" s="102" t="s">
        <v>1773</v>
      </c>
      <c r="AF5" s="89">
        <v>70</v>
      </c>
      <c r="AG5" s="89">
        <v>6</v>
      </c>
      <c r="AH5" s="89">
        <v>246</v>
      </c>
      <c r="AI5" s="89">
        <v>129</v>
      </c>
      <c r="AJ5" s="89"/>
      <c r="AK5" s="89"/>
      <c r="AL5" s="89"/>
      <c r="AM5" s="89"/>
      <c r="AN5" s="89"/>
      <c r="AO5" s="92">
        <v>44501.80479166667</v>
      </c>
      <c r="AP5" s="89"/>
      <c r="AQ5" s="89" t="b">
        <v>1</v>
      </c>
      <c r="AR5" s="89" t="b">
        <v>1</v>
      </c>
      <c r="AS5" s="89" t="b">
        <v>0</v>
      </c>
      <c r="AT5" s="89"/>
      <c r="AU5" s="89">
        <v>0</v>
      </c>
      <c r="AV5" s="89"/>
      <c r="AW5" s="89" t="b">
        <v>0</v>
      </c>
      <c r="AX5" s="89" t="s">
        <v>2300</v>
      </c>
      <c r="AY5" s="95" t="str">
        <f>HYPERLINK("https://twitter.com/petri190722231")</f>
        <v>https://twitter.com/petri190722231</v>
      </c>
      <c r="AZ5" s="89" t="s">
        <v>66</v>
      </c>
      <c r="BA5" s="89" t="str">
        <f>REPLACE(INDEX(GroupVertices[Group],MATCH(Vertices[[#This Row],[Vertex]],GroupVertices[Vertex],0)),1,1,"")</f>
        <v>1</v>
      </c>
      <c r="BB5" s="49">
        <v>0</v>
      </c>
      <c r="BC5" s="50">
        <v>0</v>
      </c>
      <c r="BD5" s="49">
        <v>0</v>
      </c>
      <c r="BE5" s="50">
        <v>0</v>
      </c>
      <c r="BF5" s="49">
        <v>0</v>
      </c>
      <c r="BG5" s="50">
        <v>0</v>
      </c>
      <c r="BH5" s="49">
        <v>74</v>
      </c>
      <c r="BI5" s="50">
        <v>100</v>
      </c>
      <c r="BJ5" s="49">
        <v>74</v>
      </c>
      <c r="BK5" s="49" t="s">
        <v>5507</v>
      </c>
      <c r="BL5" s="49" t="s">
        <v>5518</v>
      </c>
      <c r="BM5" s="49" t="s">
        <v>5520</v>
      </c>
      <c r="BN5" s="49" t="s">
        <v>5529</v>
      </c>
      <c r="BO5" s="49"/>
      <c r="BP5" s="49"/>
      <c r="BQ5" s="123" t="s">
        <v>5537</v>
      </c>
      <c r="BR5" s="123" t="s">
        <v>5537</v>
      </c>
      <c r="BS5" s="123" t="s">
        <v>5689</v>
      </c>
      <c r="BT5" s="123" t="s">
        <v>5689</v>
      </c>
      <c r="BU5" s="2"/>
      <c r="BV5" s="3"/>
      <c r="BW5" s="3"/>
      <c r="BX5" s="3"/>
      <c r="BY5" s="3"/>
    </row>
    <row r="6" spans="1:77" ht="15">
      <c r="A6" s="65" t="s">
        <v>378</v>
      </c>
      <c r="B6" s="66"/>
      <c r="C6" s="66" t="s">
        <v>64</v>
      </c>
      <c r="D6" s="67">
        <v>775.9685583243923</v>
      </c>
      <c r="E6" s="69"/>
      <c r="F6" s="111" t="str">
        <f>HYPERLINK("https://pbs.twimg.com/profile_images/1460252330012692482/YtdSklrc_normal.jpg")</f>
        <v>https://pbs.twimg.com/profile_images/1460252330012692482/YtdSklrc_normal.jpg</v>
      </c>
      <c r="G6" s="66"/>
      <c r="H6" s="70" t="s">
        <v>378</v>
      </c>
      <c r="I6" s="71" t="s">
        <v>5818</v>
      </c>
      <c r="J6" s="71" t="s">
        <v>75</v>
      </c>
      <c r="K6" s="70" t="s">
        <v>2303</v>
      </c>
      <c r="L6" s="74">
        <v>1905.3809523809523</v>
      </c>
      <c r="M6" s="75">
        <v>842.4954833984375</v>
      </c>
      <c r="N6" s="75">
        <v>7206.4580078125</v>
      </c>
      <c r="O6" s="76"/>
      <c r="P6" s="77"/>
      <c r="Q6" s="77"/>
      <c r="R6" s="104"/>
      <c r="S6" s="49">
        <v>4</v>
      </c>
      <c r="T6" s="49">
        <v>0</v>
      </c>
      <c r="U6" s="50">
        <v>185.093679</v>
      </c>
      <c r="V6" s="50">
        <v>0.000968</v>
      </c>
      <c r="W6" s="50">
        <v>0.005089</v>
      </c>
      <c r="X6" s="50">
        <v>0.992379</v>
      </c>
      <c r="Y6" s="50">
        <v>0.25</v>
      </c>
      <c r="Z6" s="50">
        <v>0</v>
      </c>
      <c r="AA6" s="72">
        <v>6</v>
      </c>
      <c r="AB6" s="72"/>
      <c r="AC6" s="73"/>
      <c r="AD6" s="89" t="s">
        <v>1479</v>
      </c>
      <c r="AE6" s="102" t="s">
        <v>1389</v>
      </c>
      <c r="AF6" s="89">
        <v>266</v>
      </c>
      <c r="AG6" s="89">
        <v>66</v>
      </c>
      <c r="AH6" s="89">
        <v>249</v>
      </c>
      <c r="AI6" s="89">
        <v>381</v>
      </c>
      <c r="AJ6" s="89"/>
      <c r="AK6" s="89" t="s">
        <v>1968</v>
      </c>
      <c r="AL6" s="89" t="s">
        <v>2212</v>
      </c>
      <c r="AM6" s="89"/>
      <c r="AN6" s="89"/>
      <c r="AO6" s="92">
        <v>44224.018645833334</v>
      </c>
      <c r="AP6" s="95" t="str">
        <f>HYPERLINK("https://pbs.twimg.com/profile_banners/1354586647652782080/1636986373")</f>
        <v>https://pbs.twimg.com/profile_banners/1354586647652782080/1636986373</v>
      </c>
      <c r="AQ6" s="89" t="b">
        <v>1</v>
      </c>
      <c r="AR6" s="89" t="b">
        <v>0</v>
      </c>
      <c r="AS6" s="89" t="b">
        <v>0</v>
      </c>
      <c r="AT6" s="89"/>
      <c r="AU6" s="89">
        <v>3</v>
      </c>
      <c r="AV6" s="89"/>
      <c r="AW6" s="89" t="b">
        <v>0</v>
      </c>
      <c r="AX6" s="89" t="s">
        <v>2300</v>
      </c>
      <c r="AY6" s="95" t="str">
        <f>HYPERLINK("https://twitter.com/investorimagin1")</f>
        <v>https://twitter.com/investorimagin1</v>
      </c>
      <c r="AZ6" s="89" t="s">
        <v>65</v>
      </c>
      <c r="BA6" s="8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226</v>
      </c>
      <c r="B7" s="66"/>
      <c r="C7" s="66" t="s">
        <v>64</v>
      </c>
      <c r="D7" s="67">
        <v>392.9842791621962</v>
      </c>
      <c r="E7" s="69"/>
      <c r="F7" s="111" t="str">
        <f>HYPERLINK("https://pbs.twimg.com/profile_images/1241313260986683392/CwOUT7P3_normal.jpg")</f>
        <v>https://pbs.twimg.com/profile_images/1241313260986683392/CwOUT7P3_normal.jpg</v>
      </c>
      <c r="G7" s="66"/>
      <c r="H7" s="70" t="s">
        <v>226</v>
      </c>
      <c r="I7" s="71" t="s">
        <v>5819</v>
      </c>
      <c r="J7" s="71" t="s">
        <v>73</v>
      </c>
      <c r="K7" s="70" t="s">
        <v>2304</v>
      </c>
      <c r="L7" s="74">
        <v>953.1904761904761</v>
      </c>
      <c r="M7" s="75">
        <v>8423.359375</v>
      </c>
      <c r="N7" s="75">
        <v>427.35772705078125</v>
      </c>
      <c r="O7" s="76"/>
      <c r="P7" s="77"/>
      <c r="Q7" s="77"/>
      <c r="R7" s="104"/>
      <c r="S7" s="49">
        <v>2</v>
      </c>
      <c r="T7" s="49">
        <v>1</v>
      </c>
      <c r="U7" s="50">
        <v>0</v>
      </c>
      <c r="V7" s="50">
        <v>1</v>
      </c>
      <c r="W7" s="50">
        <v>0</v>
      </c>
      <c r="X7" s="50">
        <v>1.298243</v>
      </c>
      <c r="Y7" s="50">
        <v>0</v>
      </c>
      <c r="Z7" s="50">
        <v>0</v>
      </c>
      <c r="AA7" s="72">
        <v>7</v>
      </c>
      <c r="AB7" s="72"/>
      <c r="AC7" s="73"/>
      <c r="AD7" s="89" t="s">
        <v>1480</v>
      </c>
      <c r="AE7" s="102" t="s">
        <v>1774</v>
      </c>
      <c r="AF7" s="89">
        <v>551</v>
      </c>
      <c r="AG7" s="89">
        <v>287</v>
      </c>
      <c r="AH7" s="89">
        <v>1102</v>
      </c>
      <c r="AI7" s="89">
        <v>697</v>
      </c>
      <c r="AJ7" s="89"/>
      <c r="AK7" s="89" t="s">
        <v>1969</v>
      </c>
      <c r="AL7" s="89" t="s">
        <v>2213</v>
      </c>
      <c r="AM7" s="95" t="str">
        <f>HYPERLINK("https://t.co/517YGWxro9")</f>
        <v>https://t.co/517YGWxro9</v>
      </c>
      <c r="AN7" s="89"/>
      <c r="AO7" s="92">
        <v>43911.44247685185</v>
      </c>
      <c r="AP7" s="95" t="str">
        <f>HYPERLINK("https://pbs.twimg.com/profile_banners/1241312840864194560/1637228221")</f>
        <v>https://pbs.twimg.com/profile_banners/1241312840864194560/1637228221</v>
      </c>
      <c r="AQ7" s="89" t="b">
        <v>1</v>
      </c>
      <c r="AR7" s="89" t="b">
        <v>0</v>
      </c>
      <c r="AS7" s="89" t="b">
        <v>0</v>
      </c>
      <c r="AT7" s="89"/>
      <c r="AU7" s="89">
        <v>1</v>
      </c>
      <c r="AV7" s="89"/>
      <c r="AW7" s="89" t="b">
        <v>0</v>
      </c>
      <c r="AX7" s="89" t="s">
        <v>2300</v>
      </c>
      <c r="AY7" s="95" t="str">
        <f>HYPERLINK("https://twitter.com/koronafi")</f>
        <v>https://twitter.com/koronafi</v>
      </c>
      <c r="AZ7" s="89" t="s">
        <v>66</v>
      </c>
      <c r="BA7" s="89" t="str">
        <f>REPLACE(INDEX(GroupVertices[Group],MATCH(Vertices[[#This Row],[Vertex]],GroupVertices[Vertex],0)),1,1,"")</f>
        <v>28</v>
      </c>
      <c r="BB7" s="49">
        <v>0</v>
      </c>
      <c r="BC7" s="50">
        <v>0</v>
      </c>
      <c r="BD7" s="49">
        <v>0</v>
      </c>
      <c r="BE7" s="50">
        <v>0</v>
      </c>
      <c r="BF7" s="49">
        <v>0</v>
      </c>
      <c r="BG7" s="50">
        <v>0</v>
      </c>
      <c r="BH7" s="49">
        <v>34</v>
      </c>
      <c r="BI7" s="50">
        <v>100</v>
      </c>
      <c r="BJ7" s="49">
        <v>34</v>
      </c>
      <c r="BK7" s="49"/>
      <c r="BL7" s="49"/>
      <c r="BM7" s="49"/>
      <c r="BN7" s="49"/>
      <c r="BO7" s="49" t="s">
        <v>711</v>
      </c>
      <c r="BP7" s="49" t="s">
        <v>711</v>
      </c>
      <c r="BQ7" s="123" t="s">
        <v>5538</v>
      </c>
      <c r="BR7" s="123" t="s">
        <v>5538</v>
      </c>
      <c r="BS7" s="123" t="s">
        <v>5690</v>
      </c>
      <c r="BT7" s="123" t="s">
        <v>5690</v>
      </c>
      <c r="BU7" s="2"/>
      <c r="BV7" s="3"/>
      <c r="BW7" s="3"/>
      <c r="BX7" s="3"/>
      <c r="BY7" s="3"/>
    </row>
    <row r="8" spans="1:77" ht="15">
      <c r="A8" s="65" t="s">
        <v>227</v>
      </c>
      <c r="B8" s="66"/>
      <c r="C8" s="66" t="s">
        <v>46</v>
      </c>
      <c r="D8" s="67"/>
      <c r="E8" s="69"/>
      <c r="F8" s="111" t="str">
        <f>HYPERLINK("https://pbs.twimg.com/profile_images/1416309209881358342/NWniPe89_normal.jpg")</f>
        <v>https://pbs.twimg.com/profile_images/1416309209881358342/NWniPe89_normal.jpg</v>
      </c>
      <c r="G8" s="66"/>
      <c r="H8" s="70" t="s">
        <v>227</v>
      </c>
      <c r="I8" s="71" t="s">
        <v>5819</v>
      </c>
      <c r="J8" s="71" t="s">
        <v>73</v>
      </c>
      <c r="K8" s="70" t="s">
        <v>2305</v>
      </c>
      <c r="L8" s="74">
        <v>1</v>
      </c>
      <c r="M8" s="75">
        <v>8423.359375</v>
      </c>
      <c r="N8" s="75">
        <v>813.7359619140625</v>
      </c>
      <c r="O8" s="76"/>
      <c r="P8" s="77"/>
      <c r="Q8" s="77"/>
      <c r="R8" s="104"/>
      <c r="S8" s="49">
        <v>0</v>
      </c>
      <c r="T8" s="49">
        <v>1</v>
      </c>
      <c r="U8" s="50">
        <v>0</v>
      </c>
      <c r="V8" s="50">
        <v>1</v>
      </c>
      <c r="W8" s="50">
        <v>0</v>
      </c>
      <c r="X8" s="50">
        <v>0.701753</v>
      </c>
      <c r="Y8" s="50">
        <v>0</v>
      </c>
      <c r="Z8" s="50">
        <v>0</v>
      </c>
      <c r="AA8" s="72">
        <v>8</v>
      </c>
      <c r="AB8" s="72"/>
      <c r="AC8" s="73"/>
      <c r="AD8" s="89" t="s">
        <v>1481</v>
      </c>
      <c r="AE8" s="102" t="s">
        <v>1775</v>
      </c>
      <c r="AF8" s="89">
        <v>493</v>
      </c>
      <c r="AG8" s="89">
        <v>537</v>
      </c>
      <c r="AH8" s="89">
        <v>21734</v>
      </c>
      <c r="AI8" s="89">
        <v>28835</v>
      </c>
      <c r="AJ8" s="89"/>
      <c r="AK8" s="89" t="s">
        <v>1970</v>
      </c>
      <c r="AL8" s="89" t="s">
        <v>2214</v>
      </c>
      <c r="AM8" s="89"/>
      <c r="AN8" s="89"/>
      <c r="AO8" s="92">
        <v>44373.348275462966</v>
      </c>
      <c r="AP8" s="95" t="str">
        <f>HYPERLINK("https://pbs.twimg.com/profile_banners/1408701854838575110/1624697992")</f>
        <v>https://pbs.twimg.com/profile_banners/1408701854838575110/1624697992</v>
      </c>
      <c r="AQ8" s="89" t="b">
        <v>1</v>
      </c>
      <c r="AR8" s="89" t="b">
        <v>0</v>
      </c>
      <c r="AS8" s="89" t="b">
        <v>0</v>
      </c>
      <c r="AT8" s="89"/>
      <c r="AU8" s="89">
        <v>1</v>
      </c>
      <c r="AV8" s="89"/>
      <c r="AW8" s="89" t="b">
        <v>0</v>
      </c>
      <c r="AX8" s="89" t="s">
        <v>2300</v>
      </c>
      <c r="AY8" s="95" t="str">
        <f>HYPERLINK("https://twitter.com/iinamaki")</f>
        <v>https://twitter.com/iinamaki</v>
      </c>
      <c r="AZ8" s="89" t="s">
        <v>66</v>
      </c>
      <c r="BA8" s="89" t="str">
        <f>REPLACE(INDEX(GroupVertices[Group],MATCH(Vertices[[#This Row],[Vertex]],GroupVertices[Vertex],0)),1,1,"")</f>
        <v>28</v>
      </c>
      <c r="BB8" s="49">
        <v>0</v>
      </c>
      <c r="BC8" s="50">
        <v>0</v>
      </c>
      <c r="BD8" s="49">
        <v>0</v>
      </c>
      <c r="BE8" s="50">
        <v>0</v>
      </c>
      <c r="BF8" s="49">
        <v>0</v>
      </c>
      <c r="BG8" s="50">
        <v>0</v>
      </c>
      <c r="BH8" s="49">
        <v>34</v>
      </c>
      <c r="BI8" s="50">
        <v>100</v>
      </c>
      <c r="BJ8" s="49">
        <v>34</v>
      </c>
      <c r="BK8" s="49"/>
      <c r="BL8" s="49"/>
      <c r="BM8" s="49"/>
      <c r="BN8" s="49"/>
      <c r="BO8" s="49" t="s">
        <v>711</v>
      </c>
      <c r="BP8" s="49" t="s">
        <v>711</v>
      </c>
      <c r="BQ8" s="123" t="s">
        <v>5538</v>
      </c>
      <c r="BR8" s="123" t="s">
        <v>5538</v>
      </c>
      <c r="BS8" s="123" t="s">
        <v>5690</v>
      </c>
      <c r="BT8" s="123" t="s">
        <v>5690</v>
      </c>
      <c r="BU8" s="2"/>
      <c r="BV8" s="3"/>
      <c r="BW8" s="3"/>
      <c r="BX8" s="3"/>
      <c r="BY8" s="3"/>
    </row>
    <row r="9" spans="1:77" ht="15">
      <c r="A9" s="65" t="s">
        <v>228</v>
      </c>
      <c r="B9" s="66"/>
      <c r="C9" s="66" t="s">
        <v>46</v>
      </c>
      <c r="D9" s="67"/>
      <c r="E9" s="69"/>
      <c r="F9" s="111" t="str">
        <f>HYPERLINK("https://pbs.twimg.com/profile_images/378800000535987280/22964ff3bef4672dc41ceb4eaec8a244_normal.jpeg")</f>
        <v>https://pbs.twimg.com/profile_images/378800000535987280/22964ff3bef4672dc41ceb4eaec8a244_normal.jpeg</v>
      </c>
      <c r="G9" s="66"/>
      <c r="H9" s="70" t="s">
        <v>228</v>
      </c>
      <c r="I9" s="71" t="s">
        <v>5820</v>
      </c>
      <c r="J9" s="71" t="s">
        <v>73</v>
      </c>
      <c r="K9" s="70" t="s">
        <v>2306</v>
      </c>
      <c r="L9" s="74">
        <v>1</v>
      </c>
      <c r="M9" s="75">
        <v>4202.41748046875</v>
      </c>
      <c r="N9" s="75">
        <v>9414.1962890625</v>
      </c>
      <c r="O9" s="76"/>
      <c r="P9" s="77"/>
      <c r="Q9" s="77"/>
      <c r="R9" s="104"/>
      <c r="S9" s="49">
        <v>0</v>
      </c>
      <c r="T9" s="49">
        <v>1</v>
      </c>
      <c r="U9" s="50">
        <v>0</v>
      </c>
      <c r="V9" s="50">
        <v>0.000662</v>
      </c>
      <c r="W9" s="50">
        <v>4.7E-05</v>
      </c>
      <c r="X9" s="50">
        <v>0.522278</v>
      </c>
      <c r="Y9" s="50">
        <v>0</v>
      </c>
      <c r="Z9" s="50">
        <v>0</v>
      </c>
      <c r="AA9" s="72">
        <v>9</v>
      </c>
      <c r="AB9" s="72"/>
      <c r="AC9" s="73"/>
      <c r="AD9" s="89" t="s">
        <v>1482</v>
      </c>
      <c r="AE9" s="102" t="s">
        <v>1776</v>
      </c>
      <c r="AF9" s="89">
        <v>6113</v>
      </c>
      <c r="AG9" s="89">
        <v>5598</v>
      </c>
      <c r="AH9" s="89">
        <v>17843</v>
      </c>
      <c r="AI9" s="89">
        <v>89663</v>
      </c>
      <c r="AJ9" s="89"/>
      <c r="AK9" s="89" t="s">
        <v>1971</v>
      </c>
      <c r="AL9" s="89" t="s">
        <v>2215</v>
      </c>
      <c r="AM9" s="95" t="str">
        <f>HYPERLINK("http://t.co/0BJEEjuWqM")</f>
        <v>http://t.co/0BJEEjuWqM</v>
      </c>
      <c r="AN9" s="89"/>
      <c r="AO9" s="92">
        <v>41506.67215277778</v>
      </c>
      <c r="AP9" s="95" t="str">
        <f>HYPERLINK("https://pbs.twimg.com/profile_banners/1686142400/1380679912")</f>
        <v>https://pbs.twimg.com/profile_banners/1686142400/1380679912</v>
      </c>
      <c r="AQ9" s="89" t="b">
        <v>0</v>
      </c>
      <c r="AR9" s="89" t="b">
        <v>0</v>
      </c>
      <c r="AS9" s="89" t="b">
        <v>0</v>
      </c>
      <c r="AT9" s="89"/>
      <c r="AU9" s="89">
        <v>30</v>
      </c>
      <c r="AV9" s="95" t="str">
        <f>HYPERLINK("https://abs.twimg.com/images/themes/theme16/bg.gif")</f>
        <v>https://abs.twimg.com/images/themes/theme16/bg.gif</v>
      </c>
      <c r="AW9" s="89" t="b">
        <v>0</v>
      </c>
      <c r="AX9" s="89" t="s">
        <v>2300</v>
      </c>
      <c r="AY9" s="95" t="str">
        <f>HYPERLINK("https://twitter.com/suskulondon")</f>
        <v>https://twitter.com/suskulondon</v>
      </c>
      <c r="AZ9" s="89" t="s">
        <v>66</v>
      </c>
      <c r="BA9" s="89" t="str">
        <f>REPLACE(INDEX(GroupVertices[Group],MATCH(Vertices[[#This Row],[Vertex]],GroupVertices[Vertex],0)),1,1,"")</f>
        <v>4</v>
      </c>
      <c r="BB9" s="49">
        <v>0</v>
      </c>
      <c r="BC9" s="50">
        <v>0</v>
      </c>
      <c r="BD9" s="49">
        <v>0</v>
      </c>
      <c r="BE9" s="50">
        <v>0</v>
      </c>
      <c r="BF9" s="49">
        <v>0</v>
      </c>
      <c r="BG9" s="50">
        <v>0</v>
      </c>
      <c r="BH9" s="49">
        <v>8</v>
      </c>
      <c r="BI9" s="50">
        <v>100</v>
      </c>
      <c r="BJ9" s="49">
        <v>8</v>
      </c>
      <c r="BK9" s="49"/>
      <c r="BL9" s="49"/>
      <c r="BM9" s="49"/>
      <c r="BN9" s="49"/>
      <c r="BO9" s="49"/>
      <c r="BP9" s="49"/>
      <c r="BQ9" s="123" t="s">
        <v>5539</v>
      </c>
      <c r="BR9" s="123" t="s">
        <v>5539</v>
      </c>
      <c r="BS9" s="123" t="s">
        <v>5691</v>
      </c>
      <c r="BT9" s="123" t="s">
        <v>5691</v>
      </c>
      <c r="BU9" s="2"/>
      <c r="BV9" s="3"/>
      <c r="BW9" s="3"/>
      <c r="BX9" s="3"/>
      <c r="BY9" s="3"/>
    </row>
    <row r="10" spans="1:77" ht="15">
      <c r="A10" s="65" t="s">
        <v>287</v>
      </c>
      <c r="B10" s="66"/>
      <c r="C10" s="66" t="s">
        <v>64</v>
      </c>
      <c r="D10" s="67">
        <v>1000</v>
      </c>
      <c r="E10" s="69"/>
      <c r="F10" s="111" t="str">
        <f>HYPERLINK("https://pbs.twimg.com/profile_images/1079665870924845058/Z6Ox_1xo_normal.jpg")</f>
        <v>https://pbs.twimg.com/profile_images/1079665870924845058/Z6Ox_1xo_normal.jpg</v>
      </c>
      <c r="G10" s="66"/>
      <c r="H10" s="70" t="s">
        <v>287</v>
      </c>
      <c r="I10" s="71" t="s">
        <v>5820</v>
      </c>
      <c r="J10" s="71" t="s">
        <v>73</v>
      </c>
      <c r="K10" s="70" t="s">
        <v>2307</v>
      </c>
      <c r="L10" s="74">
        <v>2857.5714285714284</v>
      </c>
      <c r="M10" s="75">
        <v>4483.974609375</v>
      </c>
      <c r="N10" s="75">
        <v>8649.181640625</v>
      </c>
      <c r="O10" s="76"/>
      <c r="P10" s="77"/>
      <c r="Q10" s="77"/>
      <c r="R10" s="104"/>
      <c r="S10" s="49">
        <v>6</v>
      </c>
      <c r="T10" s="49">
        <v>1</v>
      </c>
      <c r="U10" s="50">
        <v>1940</v>
      </c>
      <c r="V10" s="50">
        <v>0.000789</v>
      </c>
      <c r="W10" s="50">
        <v>0.000399</v>
      </c>
      <c r="X10" s="50">
        <v>2.627846</v>
      </c>
      <c r="Y10" s="50">
        <v>0</v>
      </c>
      <c r="Z10" s="50">
        <v>0</v>
      </c>
      <c r="AA10" s="72">
        <v>10</v>
      </c>
      <c r="AB10" s="72"/>
      <c r="AC10" s="73"/>
      <c r="AD10" s="89" t="s">
        <v>1483</v>
      </c>
      <c r="AE10" s="102" t="s">
        <v>1777</v>
      </c>
      <c r="AF10" s="89">
        <v>1247</v>
      </c>
      <c r="AG10" s="89">
        <v>5994</v>
      </c>
      <c r="AH10" s="89">
        <v>5546</v>
      </c>
      <c r="AI10" s="89">
        <v>13894</v>
      </c>
      <c r="AJ10" s="89"/>
      <c r="AK10" s="89" t="s">
        <v>1972</v>
      </c>
      <c r="AL10" s="89" t="s">
        <v>2216</v>
      </c>
      <c r="AM10" s="95" t="str">
        <f>HYPERLINK("http://t.co/39Q0kBzgdA")</f>
        <v>http://t.co/39Q0kBzgdA</v>
      </c>
      <c r="AN10" s="89"/>
      <c r="AO10" s="92">
        <v>41707.43146990741</v>
      </c>
      <c r="AP10" s="95" t="str">
        <f>HYPERLINK("https://pbs.twimg.com/profile_banners/2380252728/1462695615")</f>
        <v>https://pbs.twimg.com/profile_banners/2380252728/1462695615</v>
      </c>
      <c r="AQ10" s="89" t="b">
        <v>1</v>
      </c>
      <c r="AR10" s="89" t="b">
        <v>0</v>
      </c>
      <c r="AS10" s="89" t="b">
        <v>1</v>
      </c>
      <c r="AT10" s="89"/>
      <c r="AU10" s="89">
        <v>29</v>
      </c>
      <c r="AV10" s="95" t="str">
        <f>HYPERLINK("https://abs.twimg.com/images/themes/theme1/bg.png")</f>
        <v>https://abs.twimg.com/images/themes/theme1/bg.png</v>
      </c>
      <c r="AW10" s="89" t="b">
        <v>0</v>
      </c>
      <c r="AX10" s="89" t="s">
        <v>2300</v>
      </c>
      <c r="AY10" s="95" t="str">
        <f>HYPERLINK("https://twitter.com/anttiheikkil2")</f>
        <v>https://twitter.com/anttiheikkil2</v>
      </c>
      <c r="AZ10" s="89" t="s">
        <v>66</v>
      </c>
      <c r="BA10" s="89" t="str">
        <f>REPLACE(INDEX(GroupVertices[Group],MATCH(Vertices[[#This Row],[Vertex]],GroupVertices[Vertex],0)),1,1,"")</f>
        <v>4</v>
      </c>
      <c r="BB10" s="49">
        <v>0</v>
      </c>
      <c r="BC10" s="50">
        <v>0</v>
      </c>
      <c r="BD10" s="49">
        <v>0</v>
      </c>
      <c r="BE10" s="50">
        <v>0</v>
      </c>
      <c r="BF10" s="49">
        <v>0</v>
      </c>
      <c r="BG10" s="50">
        <v>0</v>
      </c>
      <c r="BH10" s="49">
        <v>8</v>
      </c>
      <c r="BI10" s="50">
        <v>100</v>
      </c>
      <c r="BJ10" s="49">
        <v>8</v>
      </c>
      <c r="BK10" s="49"/>
      <c r="BL10" s="49"/>
      <c r="BM10" s="49"/>
      <c r="BN10" s="49"/>
      <c r="BO10" s="49"/>
      <c r="BP10" s="49"/>
      <c r="BQ10" s="123" t="s">
        <v>5539</v>
      </c>
      <c r="BR10" s="123" t="s">
        <v>5539</v>
      </c>
      <c r="BS10" s="123" t="s">
        <v>5691</v>
      </c>
      <c r="BT10" s="123" t="s">
        <v>5691</v>
      </c>
      <c r="BU10" s="2"/>
      <c r="BV10" s="3"/>
      <c r="BW10" s="3"/>
      <c r="BX10" s="3"/>
      <c r="BY10" s="3"/>
    </row>
    <row r="11" spans="1:77" ht="15">
      <c r="A11" s="65" t="s">
        <v>229</v>
      </c>
      <c r="B11" s="66"/>
      <c r="C11" s="66" t="s">
        <v>46</v>
      </c>
      <c r="D11" s="67"/>
      <c r="E11" s="69"/>
      <c r="F11" s="111" t="str">
        <f>HYPERLINK("https://abs.twimg.com/sticky/default_profile_images/default_profile_normal.png")</f>
        <v>https://abs.twimg.com/sticky/default_profile_images/default_profile_normal.png</v>
      </c>
      <c r="G11" s="66"/>
      <c r="H11" s="70" t="s">
        <v>229</v>
      </c>
      <c r="I11" s="71" t="s">
        <v>5820</v>
      </c>
      <c r="J11" s="71" t="s">
        <v>73</v>
      </c>
      <c r="K11" s="70" t="s">
        <v>2308</v>
      </c>
      <c r="L11" s="74">
        <v>1</v>
      </c>
      <c r="M11" s="75">
        <v>4386.9111328125</v>
      </c>
      <c r="N11" s="75">
        <v>9764.8310546875</v>
      </c>
      <c r="O11" s="76"/>
      <c r="P11" s="77"/>
      <c r="Q11" s="77"/>
      <c r="R11" s="104"/>
      <c r="S11" s="49">
        <v>0</v>
      </c>
      <c r="T11" s="49">
        <v>1</v>
      </c>
      <c r="U11" s="50">
        <v>0</v>
      </c>
      <c r="V11" s="50">
        <v>0.000662</v>
      </c>
      <c r="W11" s="50">
        <v>4.7E-05</v>
      </c>
      <c r="X11" s="50">
        <v>0.522278</v>
      </c>
      <c r="Y11" s="50">
        <v>0</v>
      </c>
      <c r="Z11" s="50">
        <v>0</v>
      </c>
      <c r="AA11" s="72">
        <v>11</v>
      </c>
      <c r="AB11" s="72"/>
      <c r="AC11" s="73"/>
      <c r="AD11" s="89" t="s">
        <v>1484</v>
      </c>
      <c r="AE11" s="102" t="s">
        <v>1778</v>
      </c>
      <c r="AF11" s="89">
        <v>41</v>
      </c>
      <c r="AG11" s="89">
        <v>24</v>
      </c>
      <c r="AH11" s="89">
        <v>735</v>
      </c>
      <c r="AI11" s="89">
        <v>2989</v>
      </c>
      <c r="AJ11" s="89"/>
      <c r="AK11" s="89"/>
      <c r="AL11" s="89"/>
      <c r="AM11" s="89"/>
      <c r="AN11" s="89"/>
      <c r="AO11" s="92">
        <v>44365.471608796295</v>
      </c>
      <c r="AP11" s="89"/>
      <c r="AQ11" s="89" t="b">
        <v>1</v>
      </c>
      <c r="AR11" s="89" t="b">
        <v>1</v>
      </c>
      <c r="AS11" s="89" t="b">
        <v>0</v>
      </c>
      <c r="AT11" s="89"/>
      <c r="AU11" s="89">
        <v>0</v>
      </c>
      <c r="AV11" s="89"/>
      <c r="AW11" s="89" t="b">
        <v>0</v>
      </c>
      <c r="AX11" s="89" t="s">
        <v>2300</v>
      </c>
      <c r="AY11" s="95" t="str">
        <f>HYPERLINK("https://twitter.com/kilpikonna8")</f>
        <v>https://twitter.com/kilpikonna8</v>
      </c>
      <c r="AZ11" s="89" t="s">
        <v>66</v>
      </c>
      <c r="BA11" s="89" t="str">
        <f>REPLACE(INDEX(GroupVertices[Group],MATCH(Vertices[[#This Row],[Vertex]],GroupVertices[Vertex],0)),1,1,"")</f>
        <v>4</v>
      </c>
      <c r="BB11" s="49">
        <v>0</v>
      </c>
      <c r="BC11" s="50">
        <v>0</v>
      </c>
      <c r="BD11" s="49">
        <v>0</v>
      </c>
      <c r="BE11" s="50">
        <v>0</v>
      </c>
      <c r="BF11" s="49">
        <v>0</v>
      </c>
      <c r="BG11" s="50">
        <v>0</v>
      </c>
      <c r="BH11" s="49">
        <v>8</v>
      </c>
      <c r="BI11" s="50">
        <v>100</v>
      </c>
      <c r="BJ11" s="49">
        <v>8</v>
      </c>
      <c r="BK11" s="49"/>
      <c r="BL11" s="49"/>
      <c r="BM11" s="49"/>
      <c r="BN11" s="49"/>
      <c r="BO11" s="49"/>
      <c r="BP11" s="49"/>
      <c r="BQ11" s="123" t="s">
        <v>5539</v>
      </c>
      <c r="BR11" s="123" t="s">
        <v>5539</v>
      </c>
      <c r="BS11" s="123" t="s">
        <v>5691</v>
      </c>
      <c r="BT11" s="123" t="s">
        <v>5691</v>
      </c>
      <c r="BU11" s="2"/>
      <c r="BV11" s="3"/>
      <c r="BW11" s="3"/>
      <c r="BX11" s="3"/>
      <c r="BY11" s="3"/>
    </row>
    <row r="12" spans="1:77" ht="15">
      <c r="A12" s="65" t="s">
        <v>230</v>
      </c>
      <c r="B12" s="66"/>
      <c r="C12" s="66" t="s">
        <v>46</v>
      </c>
      <c r="D12" s="67"/>
      <c r="E12" s="69"/>
      <c r="F12" s="111" t="str">
        <f>HYPERLINK("https://pbs.twimg.com/profile_images/1350163020769587205/WyngecNG_normal.jpg")</f>
        <v>https://pbs.twimg.com/profile_images/1350163020769587205/WyngecNG_normal.jpg</v>
      </c>
      <c r="G12" s="66"/>
      <c r="H12" s="70" t="s">
        <v>230</v>
      </c>
      <c r="I12" s="71" t="s">
        <v>5821</v>
      </c>
      <c r="J12" s="71" t="s">
        <v>73</v>
      </c>
      <c r="K12" s="70" t="s">
        <v>2309</v>
      </c>
      <c r="L12" s="74">
        <v>1</v>
      </c>
      <c r="M12" s="75">
        <v>132.9653778076172</v>
      </c>
      <c r="N12" s="75">
        <v>3098.172119140625</v>
      </c>
      <c r="O12" s="76"/>
      <c r="P12" s="77"/>
      <c r="Q12" s="77"/>
      <c r="R12" s="104"/>
      <c r="S12" s="49">
        <v>0</v>
      </c>
      <c r="T12" s="49">
        <v>1</v>
      </c>
      <c r="U12" s="50">
        <v>0</v>
      </c>
      <c r="V12" s="50">
        <v>0.000644</v>
      </c>
      <c r="W12" s="50">
        <v>2.5E-05</v>
      </c>
      <c r="X12" s="50">
        <v>0.505108</v>
      </c>
      <c r="Y12" s="50">
        <v>0</v>
      </c>
      <c r="Z12" s="50">
        <v>0</v>
      </c>
      <c r="AA12" s="72">
        <v>12</v>
      </c>
      <c r="AB12" s="72"/>
      <c r="AC12" s="73"/>
      <c r="AD12" s="89" t="s">
        <v>1485</v>
      </c>
      <c r="AE12" s="102" t="s">
        <v>1779</v>
      </c>
      <c r="AF12" s="89">
        <v>1777</v>
      </c>
      <c r="AG12" s="89">
        <v>1390</v>
      </c>
      <c r="AH12" s="89">
        <v>60396</v>
      </c>
      <c r="AI12" s="89">
        <v>62049</v>
      </c>
      <c r="AJ12" s="89"/>
      <c r="AK12" s="89" t="s">
        <v>1973</v>
      </c>
      <c r="AL12" s="89"/>
      <c r="AM12" s="89"/>
      <c r="AN12" s="89"/>
      <c r="AO12" s="92">
        <v>40388.50194444445</v>
      </c>
      <c r="AP12" s="95" t="str">
        <f>HYPERLINK("https://pbs.twimg.com/profile_banners/172313457/1587625994")</f>
        <v>https://pbs.twimg.com/profile_banners/172313457/1587625994</v>
      </c>
      <c r="AQ12" s="89" t="b">
        <v>1</v>
      </c>
      <c r="AR12" s="89" t="b">
        <v>0</v>
      </c>
      <c r="AS12" s="89" t="b">
        <v>0</v>
      </c>
      <c r="AT12" s="89"/>
      <c r="AU12" s="89">
        <v>10</v>
      </c>
      <c r="AV12" s="95" t="str">
        <f>HYPERLINK("https://abs.twimg.com/images/themes/theme1/bg.png")</f>
        <v>https://abs.twimg.com/images/themes/theme1/bg.png</v>
      </c>
      <c r="AW12" s="89" t="b">
        <v>0</v>
      </c>
      <c r="AX12" s="89" t="s">
        <v>2300</v>
      </c>
      <c r="AY12" s="95" t="str">
        <f>HYPERLINK("https://twitter.com/heikkiray")</f>
        <v>https://twitter.com/heikkiray</v>
      </c>
      <c r="AZ12" s="89" t="s">
        <v>66</v>
      </c>
      <c r="BA12" s="89" t="str">
        <f>REPLACE(INDEX(GroupVertices[Group],MATCH(Vertices[[#This Row],[Vertex]],GroupVertices[Vertex],0)),1,1,"")</f>
        <v>2</v>
      </c>
      <c r="BB12" s="49">
        <v>0</v>
      </c>
      <c r="BC12" s="50">
        <v>0</v>
      </c>
      <c r="BD12" s="49">
        <v>0</v>
      </c>
      <c r="BE12" s="50">
        <v>0</v>
      </c>
      <c r="BF12" s="49">
        <v>0</v>
      </c>
      <c r="BG12" s="50">
        <v>0</v>
      </c>
      <c r="BH12" s="49">
        <v>34</v>
      </c>
      <c r="BI12" s="50">
        <v>100</v>
      </c>
      <c r="BJ12" s="49">
        <v>34</v>
      </c>
      <c r="BK12" s="49"/>
      <c r="BL12" s="49"/>
      <c r="BM12" s="49"/>
      <c r="BN12" s="49"/>
      <c r="BO12" s="49"/>
      <c r="BP12" s="49"/>
      <c r="BQ12" s="123" t="s">
        <v>5540</v>
      </c>
      <c r="BR12" s="123" t="s">
        <v>5540</v>
      </c>
      <c r="BS12" s="123" t="s">
        <v>5692</v>
      </c>
      <c r="BT12" s="123" t="s">
        <v>5692</v>
      </c>
      <c r="BU12" s="2"/>
      <c r="BV12" s="3"/>
      <c r="BW12" s="3"/>
      <c r="BX12" s="3"/>
      <c r="BY12" s="3"/>
    </row>
    <row r="13" spans="1:77" ht="15">
      <c r="A13" s="65" t="s">
        <v>379</v>
      </c>
      <c r="B13" s="66"/>
      <c r="C13" s="66" t="s">
        <v>64</v>
      </c>
      <c r="D13" s="67">
        <v>392.9842791621962</v>
      </c>
      <c r="E13" s="69"/>
      <c r="F13" s="111" t="str">
        <f>HYPERLINK("https://pbs.twimg.com/profile_images/943548342168162304/pqExmtlV_normal.jpg")</f>
        <v>https://pbs.twimg.com/profile_images/943548342168162304/pqExmtlV_normal.jpg</v>
      </c>
      <c r="G13" s="66"/>
      <c r="H13" s="70" t="s">
        <v>379</v>
      </c>
      <c r="I13" s="71" t="s">
        <v>5821</v>
      </c>
      <c r="J13" s="71" t="s">
        <v>75</v>
      </c>
      <c r="K13" s="70" t="s">
        <v>2310</v>
      </c>
      <c r="L13" s="74">
        <v>953.1904761904761</v>
      </c>
      <c r="M13" s="75">
        <v>629.3114013671875</v>
      </c>
      <c r="N13" s="75">
        <v>3465.1259765625</v>
      </c>
      <c r="O13" s="76"/>
      <c r="P13" s="77"/>
      <c r="Q13" s="77"/>
      <c r="R13" s="104"/>
      <c r="S13" s="49">
        <v>2</v>
      </c>
      <c r="T13" s="49">
        <v>0</v>
      </c>
      <c r="U13" s="50">
        <v>488</v>
      </c>
      <c r="V13" s="50">
        <v>0.000764</v>
      </c>
      <c r="W13" s="50">
        <v>0.00021</v>
      </c>
      <c r="X13" s="50">
        <v>0.835547</v>
      </c>
      <c r="Y13" s="50">
        <v>0</v>
      </c>
      <c r="Z13" s="50">
        <v>0</v>
      </c>
      <c r="AA13" s="72">
        <v>13</v>
      </c>
      <c r="AB13" s="72"/>
      <c r="AC13" s="73"/>
      <c r="AD13" s="89" t="s">
        <v>1486</v>
      </c>
      <c r="AE13" s="102" t="s">
        <v>1339</v>
      </c>
      <c r="AF13" s="89">
        <v>116</v>
      </c>
      <c r="AG13" s="89">
        <v>48</v>
      </c>
      <c r="AH13" s="89">
        <v>517</v>
      </c>
      <c r="AI13" s="89">
        <v>594</v>
      </c>
      <c r="AJ13" s="89"/>
      <c r="AK13" s="89" t="s">
        <v>1974</v>
      </c>
      <c r="AL13" s="89" t="s">
        <v>2217</v>
      </c>
      <c r="AM13" s="95" t="str">
        <f>HYPERLINK("https://t.co/wFHWYzfNhp")</f>
        <v>https://t.co/wFHWYzfNhp</v>
      </c>
      <c r="AN13" s="89"/>
      <c r="AO13" s="92">
        <v>42173.77207175926</v>
      </c>
      <c r="AP13" s="95" t="str">
        <f>HYPERLINK("https://pbs.twimg.com/profile_banners/3333144359/1513794005")</f>
        <v>https://pbs.twimg.com/profile_banners/3333144359/1513794005</v>
      </c>
      <c r="AQ13" s="89" t="b">
        <v>1</v>
      </c>
      <c r="AR13" s="89" t="b">
        <v>0</v>
      </c>
      <c r="AS13" s="89" t="b">
        <v>0</v>
      </c>
      <c r="AT13" s="89"/>
      <c r="AU13" s="89">
        <v>0</v>
      </c>
      <c r="AV13" s="95" t="str">
        <f>HYPERLINK("https://abs.twimg.com/images/themes/theme1/bg.png")</f>
        <v>https://abs.twimg.com/images/themes/theme1/bg.png</v>
      </c>
      <c r="AW13" s="89" t="b">
        <v>0</v>
      </c>
      <c r="AX13" s="89" t="s">
        <v>2300</v>
      </c>
      <c r="AY13" s="95" t="str">
        <f>HYPERLINK("https://twitter.com/koljonen_tuomas")</f>
        <v>https://twitter.com/koljonen_tuomas</v>
      </c>
      <c r="AZ13" s="89" t="s">
        <v>65</v>
      </c>
      <c r="BA13" s="8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231</v>
      </c>
      <c r="B14" s="66"/>
      <c r="C14" s="66" t="s">
        <v>46</v>
      </c>
      <c r="D14" s="67"/>
      <c r="E14" s="69"/>
      <c r="F14" s="111" t="str">
        <f>HYPERLINK("https://pbs.twimg.com/profile_images/779295389694525440/awhdnUUi_normal.jpg")</f>
        <v>https://pbs.twimg.com/profile_images/779295389694525440/awhdnUUi_normal.jpg</v>
      </c>
      <c r="G14" s="66"/>
      <c r="H14" s="70" t="s">
        <v>231</v>
      </c>
      <c r="I14" s="71" t="s">
        <v>5822</v>
      </c>
      <c r="J14" s="71" t="s">
        <v>73</v>
      </c>
      <c r="K14" s="70" t="s">
        <v>2311</v>
      </c>
      <c r="L14" s="74">
        <v>1</v>
      </c>
      <c r="M14" s="75">
        <v>6830.3125</v>
      </c>
      <c r="N14" s="75">
        <v>8486.5546875</v>
      </c>
      <c r="O14" s="76"/>
      <c r="P14" s="77"/>
      <c r="Q14" s="77"/>
      <c r="R14" s="104"/>
      <c r="S14" s="49">
        <v>0</v>
      </c>
      <c r="T14" s="49">
        <v>2</v>
      </c>
      <c r="U14" s="50">
        <v>0</v>
      </c>
      <c r="V14" s="50">
        <v>0.000866</v>
      </c>
      <c r="W14" s="50">
        <v>0.001255</v>
      </c>
      <c r="X14" s="50">
        <v>0.662366</v>
      </c>
      <c r="Y14" s="50">
        <v>1</v>
      </c>
      <c r="Z14" s="50">
        <v>0</v>
      </c>
      <c r="AA14" s="72">
        <v>14</v>
      </c>
      <c r="AB14" s="72"/>
      <c r="AC14" s="73"/>
      <c r="AD14" s="89" t="s">
        <v>1487</v>
      </c>
      <c r="AE14" s="102" t="s">
        <v>1780</v>
      </c>
      <c r="AF14" s="89">
        <v>345</v>
      </c>
      <c r="AG14" s="89">
        <v>161</v>
      </c>
      <c r="AH14" s="89">
        <v>1235</v>
      </c>
      <c r="AI14" s="89">
        <v>670</v>
      </c>
      <c r="AJ14" s="89"/>
      <c r="AK14" s="89" t="s">
        <v>1975</v>
      </c>
      <c r="AL14" s="89" t="s">
        <v>2218</v>
      </c>
      <c r="AM14" s="95" t="str">
        <f>HYPERLINK("https://t.co/TqqaEh9Lb8")</f>
        <v>https://t.co/TqqaEh9Lb8</v>
      </c>
      <c r="AN14" s="89"/>
      <c r="AO14" s="92">
        <v>41921.82388888889</v>
      </c>
      <c r="AP14" s="95" t="str">
        <f>HYPERLINK("https://pbs.twimg.com/profile_banners/2820364349/1474633945")</f>
        <v>https://pbs.twimg.com/profile_banners/2820364349/1474633945</v>
      </c>
      <c r="AQ14" s="89" t="b">
        <v>0</v>
      </c>
      <c r="AR14" s="89" t="b">
        <v>0</v>
      </c>
      <c r="AS14" s="89" t="b">
        <v>1</v>
      </c>
      <c r="AT14" s="89"/>
      <c r="AU14" s="89">
        <v>4</v>
      </c>
      <c r="AV14" s="95" t="str">
        <f>HYPERLINK("https://abs.twimg.com/images/themes/theme1/bg.png")</f>
        <v>https://abs.twimg.com/images/themes/theme1/bg.png</v>
      </c>
      <c r="AW14" s="89" t="b">
        <v>0</v>
      </c>
      <c r="AX14" s="89" t="s">
        <v>2300</v>
      </c>
      <c r="AY14" s="95" t="str">
        <f>HYPERLINK("https://twitter.com/petrimaenpaa")</f>
        <v>https://twitter.com/petrimaenpaa</v>
      </c>
      <c r="AZ14" s="89" t="s">
        <v>66</v>
      </c>
      <c r="BA14" s="89" t="str">
        <f>REPLACE(INDEX(GroupVertices[Group],MATCH(Vertices[[#This Row],[Vertex]],GroupVertices[Vertex],0)),1,1,"")</f>
        <v>5</v>
      </c>
      <c r="BB14" s="49">
        <v>0</v>
      </c>
      <c r="BC14" s="50">
        <v>0</v>
      </c>
      <c r="BD14" s="49">
        <v>0</v>
      </c>
      <c r="BE14" s="50">
        <v>0</v>
      </c>
      <c r="BF14" s="49">
        <v>0</v>
      </c>
      <c r="BG14" s="50">
        <v>0</v>
      </c>
      <c r="BH14" s="49">
        <v>36</v>
      </c>
      <c r="BI14" s="50">
        <v>100</v>
      </c>
      <c r="BJ14" s="49">
        <v>36</v>
      </c>
      <c r="BK14" s="49"/>
      <c r="BL14" s="49"/>
      <c r="BM14" s="49"/>
      <c r="BN14" s="49"/>
      <c r="BO14" s="49"/>
      <c r="BP14" s="49"/>
      <c r="BQ14" s="123" t="s">
        <v>5541</v>
      </c>
      <c r="BR14" s="123" t="s">
        <v>5541</v>
      </c>
      <c r="BS14" s="123" t="s">
        <v>5693</v>
      </c>
      <c r="BT14" s="123" t="s">
        <v>5693</v>
      </c>
      <c r="BU14" s="2"/>
      <c r="BV14" s="3"/>
      <c r="BW14" s="3"/>
      <c r="BX14" s="3"/>
      <c r="BY14" s="3"/>
    </row>
    <row r="15" spans="1:77" ht="15">
      <c r="A15" s="65" t="s">
        <v>348</v>
      </c>
      <c r="B15" s="66"/>
      <c r="C15" s="66" t="s">
        <v>64</v>
      </c>
      <c r="D15" s="67">
        <v>392.9842791621962</v>
      </c>
      <c r="E15" s="69"/>
      <c r="F15" s="111" t="str">
        <f>HYPERLINK("https://pbs.twimg.com/profile_images/927971306208931840/kn3MK9p6_normal.jpg")</f>
        <v>https://pbs.twimg.com/profile_images/927971306208931840/kn3MK9p6_normal.jpg</v>
      </c>
      <c r="G15" s="66"/>
      <c r="H15" s="70" t="s">
        <v>348</v>
      </c>
      <c r="I15" s="71" t="s">
        <v>5822</v>
      </c>
      <c r="J15" s="71" t="s">
        <v>73</v>
      </c>
      <c r="K15" s="70" t="s">
        <v>2312</v>
      </c>
      <c r="L15" s="74">
        <v>953.1904761904761</v>
      </c>
      <c r="M15" s="75">
        <v>6634.18701171875</v>
      </c>
      <c r="N15" s="75">
        <v>8563.109375</v>
      </c>
      <c r="O15" s="76"/>
      <c r="P15" s="77"/>
      <c r="Q15" s="77"/>
      <c r="R15" s="104"/>
      <c r="S15" s="49">
        <v>2</v>
      </c>
      <c r="T15" s="49">
        <v>1</v>
      </c>
      <c r="U15" s="50">
        <v>0</v>
      </c>
      <c r="V15" s="50">
        <v>0.000866</v>
      </c>
      <c r="W15" s="50">
        <v>0.001255</v>
      </c>
      <c r="X15" s="50">
        <v>0.662366</v>
      </c>
      <c r="Y15" s="50">
        <v>0.5</v>
      </c>
      <c r="Z15" s="50">
        <v>0.5</v>
      </c>
      <c r="AA15" s="72">
        <v>15</v>
      </c>
      <c r="AB15" s="72"/>
      <c r="AC15" s="73"/>
      <c r="AD15" s="89" t="s">
        <v>1488</v>
      </c>
      <c r="AE15" s="102" t="s">
        <v>1421</v>
      </c>
      <c r="AF15" s="89">
        <v>2798</v>
      </c>
      <c r="AG15" s="89">
        <v>2473</v>
      </c>
      <c r="AH15" s="89">
        <v>50134</v>
      </c>
      <c r="AI15" s="89">
        <v>53658</v>
      </c>
      <c r="AJ15" s="89"/>
      <c r="AK15" s="89" t="s">
        <v>1976</v>
      </c>
      <c r="AL15" s="89" t="s">
        <v>2219</v>
      </c>
      <c r="AM15" s="95" t="str">
        <f>HYPERLINK("https://t.co/NAcBdlwvoS")</f>
        <v>https://t.co/NAcBdlwvoS</v>
      </c>
      <c r="AN15" s="89"/>
      <c r="AO15" s="92">
        <v>43046.775671296295</v>
      </c>
      <c r="AP15" s="95" t="str">
        <f>HYPERLINK("https://pbs.twimg.com/profile_banners/927968133251518464/1624106874")</f>
        <v>https://pbs.twimg.com/profile_banners/927968133251518464/1624106874</v>
      </c>
      <c r="AQ15" s="89" t="b">
        <v>0</v>
      </c>
      <c r="AR15" s="89" t="b">
        <v>0</v>
      </c>
      <c r="AS15" s="89" t="b">
        <v>1</v>
      </c>
      <c r="AT15" s="89"/>
      <c r="AU15" s="89">
        <v>21</v>
      </c>
      <c r="AV15" s="95" t="str">
        <f>HYPERLINK("https://abs.twimg.com/images/themes/theme1/bg.png")</f>
        <v>https://abs.twimg.com/images/themes/theme1/bg.png</v>
      </c>
      <c r="AW15" s="89" t="b">
        <v>0</v>
      </c>
      <c r="AX15" s="89" t="s">
        <v>2300</v>
      </c>
      <c r="AY15" s="95" t="str">
        <f>HYPERLINK("https://twitter.com/raitziger")</f>
        <v>https://twitter.com/raitziger</v>
      </c>
      <c r="AZ15" s="89" t="s">
        <v>66</v>
      </c>
      <c r="BA15" s="89" t="str">
        <f>REPLACE(INDEX(GroupVertices[Group],MATCH(Vertices[[#This Row],[Vertex]],GroupVertices[Vertex],0)),1,1,"")</f>
        <v>5</v>
      </c>
      <c r="BB15" s="49">
        <v>0</v>
      </c>
      <c r="BC15" s="50">
        <v>0</v>
      </c>
      <c r="BD15" s="49">
        <v>0</v>
      </c>
      <c r="BE15" s="50">
        <v>0</v>
      </c>
      <c r="BF15" s="49">
        <v>0</v>
      </c>
      <c r="BG15" s="50">
        <v>0</v>
      </c>
      <c r="BH15" s="49">
        <v>24</v>
      </c>
      <c r="BI15" s="50">
        <v>100</v>
      </c>
      <c r="BJ15" s="49">
        <v>24</v>
      </c>
      <c r="BK15" s="49"/>
      <c r="BL15" s="49"/>
      <c r="BM15" s="49"/>
      <c r="BN15" s="49"/>
      <c r="BO15" s="49"/>
      <c r="BP15" s="49"/>
      <c r="BQ15" s="123" t="s">
        <v>5542</v>
      </c>
      <c r="BR15" s="123" t="s">
        <v>5542</v>
      </c>
      <c r="BS15" s="123" t="s">
        <v>5694</v>
      </c>
      <c r="BT15" s="123" t="s">
        <v>5694</v>
      </c>
      <c r="BU15" s="2"/>
      <c r="BV15" s="3"/>
      <c r="BW15" s="3"/>
      <c r="BX15" s="3"/>
      <c r="BY15" s="3"/>
    </row>
    <row r="16" spans="1:77" ht="15">
      <c r="A16" s="65" t="s">
        <v>349</v>
      </c>
      <c r="B16" s="66"/>
      <c r="C16" s="66" t="s">
        <v>64</v>
      </c>
      <c r="D16" s="67">
        <v>1000</v>
      </c>
      <c r="E16" s="69"/>
      <c r="F16" s="111" t="str">
        <f>HYPERLINK("https://pbs.twimg.com/profile_images/1393874518343667713/26qXQ9--_normal.jpg")</f>
        <v>https://pbs.twimg.com/profile_images/1393874518343667713/26qXQ9--_normal.jpg</v>
      </c>
      <c r="G16" s="66"/>
      <c r="H16" s="70" t="s">
        <v>349</v>
      </c>
      <c r="I16" s="71" t="s">
        <v>5822</v>
      </c>
      <c r="J16" s="71" t="s">
        <v>73</v>
      </c>
      <c r="K16" s="70" t="s">
        <v>2313</v>
      </c>
      <c r="L16" s="74">
        <v>9522.904761904761</v>
      </c>
      <c r="M16" s="75">
        <v>6434.8046875</v>
      </c>
      <c r="N16" s="75">
        <v>8711.2197265625</v>
      </c>
      <c r="O16" s="76"/>
      <c r="P16" s="77"/>
      <c r="Q16" s="77"/>
      <c r="R16" s="104"/>
      <c r="S16" s="49">
        <v>20</v>
      </c>
      <c r="T16" s="49">
        <v>10</v>
      </c>
      <c r="U16" s="50">
        <v>10137.826475</v>
      </c>
      <c r="V16" s="50">
        <v>0.001096</v>
      </c>
      <c r="W16" s="50">
        <v>0.009496</v>
      </c>
      <c r="X16" s="50">
        <v>7.333212</v>
      </c>
      <c r="Y16" s="50">
        <v>0.027692307692307693</v>
      </c>
      <c r="Z16" s="50">
        <v>0.07692307692307693</v>
      </c>
      <c r="AA16" s="72">
        <v>16</v>
      </c>
      <c r="AB16" s="72"/>
      <c r="AC16" s="73"/>
      <c r="AD16" s="89" t="s">
        <v>1489</v>
      </c>
      <c r="AE16" s="102" t="s">
        <v>1340</v>
      </c>
      <c r="AF16" s="89">
        <v>1588</v>
      </c>
      <c r="AG16" s="89">
        <v>1836</v>
      </c>
      <c r="AH16" s="89">
        <v>15345</v>
      </c>
      <c r="AI16" s="89">
        <v>27486</v>
      </c>
      <c r="AJ16" s="89"/>
      <c r="AK16" s="89" t="s">
        <v>1977</v>
      </c>
      <c r="AL16" s="89" t="s">
        <v>2220</v>
      </c>
      <c r="AM16" s="95" t="str">
        <f>HYPERLINK("https://t.co/oHyrKiFpvg")</f>
        <v>https://t.co/oHyrKiFpvg</v>
      </c>
      <c r="AN16" s="89"/>
      <c r="AO16" s="92">
        <v>41240.83094907407</v>
      </c>
      <c r="AP16" s="95" t="str">
        <f>HYPERLINK("https://pbs.twimg.com/profile_banners/974567142/1623768002")</f>
        <v>https://pbs.twimg.com/profile_banners/974567142/1623768002</v>
      </c>
      <c r="AQ16" s="89" t="b">
        <v>0</v>
      </c>
      <c r="AR16" s="89" t="b">
        <v>0</v>
      </c>
      <c r="AS16" s="89" t="b">
        <v>0</v>
      </c>
      <c r="AT16" s="89"/>
      <c r="AU16" s="89">
        <v>9</v>
      </c>
      <c r="AV16" s="95" t="str">
        <f>HYPERLINK("https://abs.twimg.com/images/themes/theme1/bg.png")</f>
        <v>https://abs.twimg.com/images/themes/theme1/bg.png</v>
      </c>
      <c r="AW16" s="89" t="b">
        <v>0</v>
      </c>
      <c r="AX16" s="89" t="s">
        <v>2300</v>
      </c>
      <c r="AY16" s="95" t="str">
        <f>HYPERLINK("https://twitter.com/leanvaltio")</f>
        <v>https://twitter.com/leanvaltio</v>
      </c>
      <c r="AZ16" s="89" t="s">
        <v>66</v>
      </c>
      <c r="BA16" s="89" t="str">
        <f>REPLACE(INDEX(GroupVertices[Group],MATCH(Vertices[[#This Row],[Vertex]],GroupVertices[Vertex],0)),1,1,"")</f>
        <v>5</v>
      </c>
      <c r="BB16" s="49">
        <v>2</v>
      </c>
      <c r="BC16" s="50">
        <v>0.8403361344537815</v>
      </c>
      <c r="BD16" s="49">
        <v>0</v>
      </c>
      <c r="BE16" s="50">
        <v>0</v>
      </c>
      <c r="BF16" s="49">
        <v>0</v>
      </c>
      <c r="BG16" s="50">
        <v>0</v>
      </c>
      <c r="BH16" s="49">
        <v>236</v>
      </c>
      <c r="BI16" s="50">
        <v>99.15966386554622</v>
      </c>
      <c r="BJ16" s="49">
        <v>238</v>
      </c>
      <c r="BK16" s="49" t="s">
        <v>5218</v>
      </c>
      <c r="BL16" s="49" t="s">
        <v>5218</v>
      </c>
      <c r="BM16" s="49" t="s">
        <v>709</v>
      </c>
      <c r="BN16" s="49" t="s">
        <v>709</v>
      </c>
      <c r="BO16" s="49" t="s">
        <v>226</v>
      </c>
      <c r="BP16" s="49" t="s">
        <v>226</v>
      </c>
      <c r="BQ16" s="123" t="s">
        <v>5543</v>
      </c>
      <c r="BR16" s="123" t="s">
        <v>5652</v>
      </c>
      <c r="BS16" s="123" t="s">
        <v>5695</v>
      </c>
      <c r="BT16" s="123" t="s">
        <v>5695</v>
      </c>
      <c r="BU16" s="2"/>
      <c r="BV16" s="3"/>
      <c r="BW16" s="3"/>
      <c r="BX16" s="3"/>
      <c r="BY16" s="3"/>
    </row>
    <row r="17" spans="1:77" ht="15">
      <c r="A17" s="65" t="s">
        <v>232</v>
      </c>
      <c r="B17" s="66"/>
      <c r="C17" s="66" t="s">
        <v>46</v>
      </c>
      <c r="D17" s="67"/>
      <c r="E17" s="69"/>
      <c r="F17" s="111" t="str">
        <f>HYPERLINK("https://pbs.twimg.com/profile_images/767396608149446656/5XsrXq8J_normal.jpg")</f>
        <v>https://pbs.twimg.com/profile_images/767396608149446656/5XsrXq8J_normal.jpg</v>
      </c>
      <c r="G17" s="66"/>
      <c r="H17" s="70" t="s">
        <v>232</v>
      </c>
      <c r="I17" s="71" t="s">
        <v>5820</v>
      </c>
      <c r="J17" s="71" t="s">
        <v>73</v>
      </c>
      <c r="K17" s="70" t="s">
        <v>2314</v>
      </c>
      <c r="L17" s="74">
        <v>1</v>
      </c>
      <c r="M17" s="75">
        <v>4750.10888671875</v>
      </c>
      <c r="N17" s="75">
        <v>9335.3701171875</v>
      </c>
      <c r="O17" s="76"/>
      <c r="P17" s="77"/>
      <c r="Q17" s="77"/>
      <c r="R17" s="104"/>
      <c r="S17" s="49">
        <v>0</v>
      </c>
      <c r="T17" s="49">
        <v>1</v>
      </c>
      <c r="U17" s="50">
        <v>0</v>
      </c>
      <c r="V17" s="50">
        <v>0.000662</v>
      </c>
      <c r="W17" s="50">
        <v>4.7E-05</v>
      </c>
      <c r="X17" s="50">
        <v>0.522278</v>
      </c>
      <c r="Y17" s="50">
        <v>0</v>
      </c>
      <c r="Z17" s="50">
        <v>0</v>
      </c>
      <c r="AA17" s="72">
        <v>17</v>
      </c>
      <c r="AB17" s="72"/>
      <c r="AC17" s="73"/>
      <c r="AD17" s="89" t="s">
        <v>1490</v>
      </c>
      <c r="AE17" s="102" t="s">
        <v>1781</v>
      </c>
      <c r="AF17" s="89">
        <v>60</v>
      </c>
      <c r="AG17" s="89">
        <v>70</v>
      </c>
      <c r="AH17" s="89">
        <v>9555</v>
      </c>
      <c r="AI17" s="89">
        <v>9929</v>
      </c>
      <c r="AJ17" s="89"/>
      <c r="AK17" s="89" t="s">
        <v>1978</v>
      </c>
      <c r="AL17" s="89" t="s">
        <v>2218</v>
      </c>
      <c r="AM17" s="89"/>
      <c r="AN17" s="89"/>
      <c r="AO17" s="92">
        <v>40928.483715277776</v>
      </c>
      <c r="AP17" s="89"/>
      <c r="AQ17" s="89" t="b">
        <v>1</v>
      </c>
      <c r="AR17" s="89" t="b">
        <v>0</v>
      </c>
      <c r="AS17" s="89" t="b">
        <v>0</v>
      </c>
      <c r="AT17" s="89"/>
      <c r="AU17" s="89">
        <v>7</v>
      </c>
      <c r="AV17" s="95" t="str">
        <f>HYPERLINK("https://abs.twimg.com/images/themes/theme1/bg.png")</f>
        <v>https://abs.twimg.com/images/themes/theme1/bg.png</v>
      </c>
      <c r="AW17" s="89" t="b">
        <v>0</v>
      </c>
      <c r="AX17" s="89" t="s">
        <v>2300</v>
      </c>
      <c r="AY17" s="95" t="str">
        <f>HYPERLINK("https://twitter.com/aulikkinyberg")</f>
        <v>https://twitter.com/aulikkinyberg</v>
      </c>
      <c r="AZ17" s="89" t="s">
        <v>66</v>
      </c>
      <c r="BA17" s="89" t="str">
        <f>REPLACE(INDEX(GroupVertices[Group],MATCH(Vertices[[#This Row],[Vertex]],GroupVertices[Vertex],0)),1,1,"")</f>
        <v>4</v>
      </c>
      <c r="BB17" s="49">
        <v>0</v>
      </c>
      <c r="BC17" s="50">
        <v>0</v>
      </c>
      <c r="BD17" s="49">
        <v>0</v>
      </c>
      <c r="BE17" s="50">
        <v>0</v>
      </c>
      <c r="BF17" s="49">
        <v>0</v>
      </c>
      <c r="BG17" s="50">
        <v>0</v>
      </c>
      <c r="BH17" s="49">
        <v>8</v>
      </c>
      <c r="BI17" s="50">
        <v>100</v>
      </c>
      <c r="BJ17" s="49">
        <v>8</v>
      </c>
      <c r="BK17" s="49"/>
      <c r="BL17" s="49"/>
      <c r="BM17" s="49"/>
      <c r="BN17" s="49"/>
      <c r="BO17" s="49"/>
      <c r="BP17" s="49"/>
      <c r="BQ17" s="123" t="s">
        <v>5539</v>
      </c>
      <c r="BR17" s="123" t="s">
        <v>5539</v>
      </c>
      <c r="BS17" s="123" t="s">
        <v>5691</v>
      </c>
      <c r="BT17" s="123" t="s">
        <v>5691</v>
      </c>
      <c r="BU17" s="2"/>
      <c r="BV17" s="3"/>
      <c r="BW17" s="3"/>
      <c r="BX17" s="3"/>
      <c r="BY17" s="3"/>
    </row>
    <row r="18" spans="1:77" ht="15">
      <c r="A18" s="65" t="s">
        <v>233</v>
      </c>
      <c r="B18" s="66"/>
      <c r="C18" s="66" t="s">
        <v>46</v>
      </c>
      <c r="D18" s="67"/>
      <c r="E18" s="69"/>
      <c r="F18" s="111" t="str">
        <f>HYPERLINK("https://pbs.twimg.com/profile_images/1439925151123054595/JszrNebT_normal.jpg")</f>
        <v>https://pbs.twimg.com/profile_images/1439925151123054595/JszrNebT_normal.jpg</v>
      </c>
      <c r="G18" s="66"/>
      <c r="H18" s="70" t="s">
        <v>233</v>
      </c>
      <c r="I18" s="71" t="s">
        <v>5823</v>
      </c>
      <c r="J18" s="71" t="s">
        <v>73</v>
      </c>
      <c r="K18" s="70" t="s">
        <v>2315</v>
      </c>
      <c r="L18" s="74">
        <v>1</v>
      </c>
      <c r="M18" s="75">
        <v>8629.4560546875</v>
      </c>
      <c r="N18" s="75">
        <v>5713.71435546875</v>
      </c>
      <c r="O18" s="76"/>
      <c r="P18" s="77"/>
      <c r="Q18" s="77"/>
      <c r="R18" s="104"/>
      <c r="S18" s="49">
        <v>0</v>
      </c>
      <c r="T18" s="49">
        <v>3</v>
      </c>
      <c r="U18" s="50">
        <v>6</v>
      </c>
      <c r="V18" s="50">
        <v>0.333333</v>
      </c>
      <c r="W18" s="50">
        <v>0</v>
      </c>
      <c r="X18" s="50">
        <v>1.918916</v>
      </c>
      <c r="Y18" s="50">
        <v>0</v>
      </c>
      <c r="Z18" s="50">
        <v>0</v>
      </c>
      <c r="AA18" s="72">
        <v>18</v>
      </c>
      <c r="AB18" s="72"/>
      <c r="AC18" s="73"/>
      <c r="AD18" s="89" t="s">
        <v>1491</v>
      </c>
      <c r="AE18" s="102" t="s">
        <v>1782</v>
      </c>
      <c r="AF18" s="89">
        <v>314</v>
      </c>
      <c r="AG18" s="89">
        <v>275</v>
      </c>
      <c r="AH18" s="89">
        <v>530</v>
      </c>
      <c r="AI18" s="89">
        <v>11075</v>
      </c>
      <c r="AJ18" s="89"/>
      <c r="AK18" s="89" t="s">
        <v>1979</v>
      </c>
      <c r="AL18" s="89" t="s">
        <v>2221</v>
      </c>
      <c r="AM18" s="89"/>
      <c r="AN18" s="89"/>
      <c r="AO18" s="92">
        <v>41405.89792824074</v>
      </c>
      <c r="AP18" s="95" t="str">
        <f>HYPERLINK("https://pbs.twimg.com/profile_banners/1421618604/1632140505")</f>
        <v>https://pbs.twimg.com/profile_banners/1421618604/1632140505</v>
      </c>
      <c r="AQ18" s="89" t="b">
        <v>1</v>
      </c>
      <c r="AR18" s="89" t="b">
        <v>0</v>
      </c>
      <c r="AS18" s="89" t="b">
        <v>0</v>
      </c>
      <c r="AT18" s="89"/>
      <c r="AU18" s="89">
        <v>0</v>
      </c>
      <c r="AV18" s="95" t="str">
        <f>HYPERLINK("https://abs.twimg.com/images/themes/theme1/bg.png")</f>
        <v>https://abs.twimg.com/images/themes/theme1/bg.png</v>
      </c>
      <c r="AW18" s="89" t="b">
        <v>0</v>
      </c>
      <c r="AX18" s="89" t="s">
        <v>2300</v>
      </c>
      <c r="AY18" s="95" t="str">
        <f>HYPERLINK("https://twitter.com/voinpahoin")</f>
        <v>https://twitter.com/voinpahoin</v>
      </c>
      <c r="AZ18" s="89" t="s">
        <v>66</v>
      </c>
      <c r="BA18" s="89" t="str">
        <f>REPLACE(INDEX(GroupVertices[Group],MATCH(Vertices[[#This Row],[Vertex]],GroupVertices[Vertex],0)),1,1,"")</f>
        <v>15</v>
      </c>
      <c r="BB18" s="49">
        <v>0</v>
      </c>
      <c r="BC18" s="50">
        <v>0</v>
      </c>
      <c r="BD18" s="49">
        <v>0</v>
      </c>
      <c r="BE18" s="50">
        <v>0</v>
      </c>
      <c r="BF18" s="49">
        <v>0</v>
      </c>
      <c r="BG18" s="50">
        <v>0</v>
      </c>
      <c r="BH18" s="49">
        <v>8</v>
      </c>
      <c r="BI18" s="50">
        <v>100</v>
      </c>
      <c r="BJ18" s="49">
        <v>8</v>
      </c>
      <c r="BK18" s="49"/>
      <c r="BL18" s="49"/>
      <c r="BM18" s="49"/>
      <c r="BN18" s="49"/>
      <c r="BO18" s="49"/>
      <c r="BP18" s="49"/>
      <c r="BQ18" s="123" t="s">
        <v>5544</v>
      </c>
      <c r="BR18" s="123" t="s">
        <v>5544</v>
      </c>
      <c r="BS18" s="123" t="s">
        <v>5696</v>
      </c>
      <c r="BT18" s="123" t="s">
        <v>5696</v>
      </c>
      <c r="BU18" s="2"/>
      <c r="BV18" s="3"/>
      <c r="BW18" s="3"/>
      <c r="BX18" s="3"/>
      <c r="BY18" s="3"/>
    </row>
    <row r="19" spans="1:77" ht="15">
      <c r="A19" s="65" t="s">
        <v>380</v>
      </c>
      <c r="B19" s="66"/>
      <c r="C19" s="66" t="s">
        <v>46</v>
      </c>
      <c r="D19" s="67">
        <v>10</v>
      </c>
      <c r="E19" s="69"/>
      <c r="F19" s="111" t="str">
        <f>HYPERLINK("https://pbs.twimg.com/profile_images/1238401876900618240/iARMw3Kf_normal.jpg")</f>
        <v>https://pbs.twimg.com/profile_images/1238401876900618240/iARMw3Kf_normal.jpg</v>
      </c>
      <c r="G19" s="66"/>
      <c r="H19" s="70" t="s">
        <v>380</v>
      </c>
      <c r="I19" s="71" t="s">
        <v>5823</v>
      </c>
      <c r="J19" s="71" t="s">
        <v>75</v>
      </c>
      <c r="K19" s="70" t="s">
        <v>2316</v>
      </c>
      <c r="L19" s="74">
        <v>477.0952380952381</v>
      </c>
      <c r="M19" s="75">
        <v>8948.5732421875</v>
      </c>
      <c r="N19" s="75">
        <v>5713.71435546875</v>
      </c>
      <c r="O19" s="76"/>
      <c r="P19" s="77"/>
      <c r="Q19" s="77"/>
      <c r="R19" s="104"/>
      <c r="S19" s="49">
        <v>1</v>
      </c>
      <c r="T19" s="49">
        <v>0</v>
      </c>
      <c r="U19" s="50">
        <v>0</v>
      </c>
      <c r="V19" s="50">
        <v>0.2</v>
      </c>
      <c r="W19" s="50">
        <v>0</v>
      </c>
      <c r="X19" s="50">
        <v>0.693693</v>
      </c>
      <c r="Y19" s="50">
        <v>0</v>
      </c>
      <c r="Z19" s="50">
        <v>0</v>
      </c>
      <c r="AA19" s="72">
        <v>19</v>
      </c>
      <c r="AB19" s="72"/>
      <c r="AC19" s="73"/>
      <c r="AD19" s="89" t="s">
        <v>1492</v>
      </c>
      <c r="AE19" s="102" t="s">
        <v>1783</v>
      </c>
      <c r="AF19" s="89">
        <v>160</v>
      </c>
      <c r="AG19" s="89">
        <v>304715</v>
      </c>
      <c r="AH19" s="89">
        <v>232879</v>
      </c>
      <c r="AI19" s="89">
        <v>865</v>
      </c>
      <c r="AJ19" s="89"/>
      <c r="AK19" s="89" t="s">
        <v>1980</v>
      </c>
      <c r="AL19" s="89" t="s">
        <v>2222</v>
      </c>
      <c r="AM19" s="95" t="str">
        <f>HYPERLINK("https://t.co/wOUMef3MJb")</f>
        <v>https://t.co/wOUMef3MJb</v>
      </c>
      <c r="AN19" s="89"/>
      <c r="AO19" s="92">
        <v>39881.8859375</v>
      </c>
      <c r="AP19" s="95" t="str">
        <f>HYPERLINK("https://pbs.twimg.com/profile_banners/23502747/1635416176")</f>
        <v>https://pbs.twimg.com/profile_banners/23502747/1635416176</v>
      </c>
      <c r="AQ19" s="89" t="b">
        <v>0</v>
      </c>
      <c r="AR19" s="89" t="b">
        <v>0</v>
      </c>
      <c r="AS19" s="89" t="b">
        <v>0</v>
      </c>
      <c r="AT19" s="89"/>
      <c r="AU19" s="89">
        <v>997</v>
      </c>
      <c r="AV19" s="95" t="str">
        <f>HYPERLINK("https://abs.twimg.com/images/themes/theme1/bg.png")</f>
        <v>https://abs.twimg.com/images/themes/theme1/bg.png</v>
      </c>
      <c r="AW19" s="89" t="b">
        <v>1</v>
      </c>
      <c r="AX19" s="89" t="s">
        <v>2300</v>
      </c>
      <c r="AY19" s="95" t="str">
        <f>HYPERLINK("https://twitter.com/yleuutiset")</f>
        <v>https://twitter.com/yleuutiset</v>
      </c>
      <c r="AZ19" s="89" t="s">
        <v>65</v>
      </c>
      <c r="BA19" s="89" t="str">
        <f>REPLACE(INDEX(GroupVertices[Group],MATCH(Vertices[[#This Row],[Vertex]],GroupVertices[Vertex],0)),1,1,"")</f>
        <v>15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381</v>
      </c>
      <c r="B20" s="66"/>
      <c r="C20" s="66" t="s">
        <v>46</v>
      </c>
      <c r="D20" s="67">
        <v>10</v>
      </c>
      <c r="E20" s="69"/>
      <c r="F20" s="111" t="str">
        <f>HYPERLINK("https://abs.twimg.com/sticky/default_profile_images/default_profile_normal.png")</f>
        <v>https://abs.twimg.com/sticky/default_profile_images/default_profile_normal.png</v>
      </c>
      <c r="G20" s="66"/>
      <c r="H20" s="70" t="s">
        <v>381</v>
      </c>
      <c r="I20" s="71" t="s">
        <v>5823</v>
      </c>
      <c r="J20" s="71" t="s">
        <v>75</v>
      </c>
      <c r="K20" s="70" t="s">
        <v>2317</v>
      </c>
      <c r="L20" s="74">
        <v>477.0952380952381</v>
      </c>
      <c r="M20" s="75">
        <v>8629.4560546875</v>
      </c>
      <c r="N20" s="75">
        <v>4964.37451171875</v>
      </c>
      <c r="O20" s="76"/>
      <c r="P20" s="77"/>
      <c r="Q20" s="77"/>
      <c r="R20" s="104"/>
      <c r="S20" s="49">
        <v>1</v>
      </c>
      <c r="T20" s="49">
        <v>0</v>
      </c>
      <c r="U20" s="50">
        <v>0</v>
      </c>
      <c r="V20" s="50">
        <v>0.2</v>
      </c>
      <c r="W20" s="50">
        <v>0</v>
      </c>
      <c r="X20" s="50">
        <v>0.693693</v>
      </c>
      <c r="Y20" s="50">
        <v>0</v>
      </c>
      <c r="Z20" s="50">
        <v>0</v>
      </c>
      <c r="AA20" s="72">
        <v>20</v>
      </c>
      <c r="AB20" s="72"/>
      <c r="AC20" s="73"/>
      <c r="AD20" s="89" t="s">
        <v>1493</v>
      </c>
      <c r="AE20" s="102" t="s">
        <v>1784</v>
      </c>
      <c r="AF20" s="89">
        <v>147</v>
      </c>
      <c r="AG20" s="89">
        <v>29</v>
      </c>
      <c r="AH20" s="89">
        <v>4644</v>
      </c>
      <c r="AI20" s="89">
        <v>25967</v>
      </c>
      <c r="AJ20" s="89"/>
      <c r="AK20" s="89" t="s">
        <v>1981</v>
      </c>
      <c r="AL20" s="89"/>
      <c r="AM20" s="89"/>
      <c r="AN20" s="89"/>
      <c r="AO20" s="92">
        <v>41550.33384259259</v>
      </c>
      <c r="AP20" s="95" t="str">
        <f>HYPERLINK("https://pbs.twimg.com/profile_banners/1929852914/1473691587")</f>
        <v>https://pbs.twimg.com/profile_banners/1929852914/1473691587</v>
      </c>
      <c r="AQ20" s="89" t="b">
        <v>0</v>
      </c>
      <c r="AR20" s="89" t="b">
        <v>1</v>
      </c>
      <c r="AS20" s="89" t="b">
        <v>0</v>
      </c>
      <c r="AT20" s="89"/>
      <c r="AU20" s="89">
        <v>0</v>
      </c>
      <c r="AV20" s="95" t="str">
        <f>HYPERLINK("https://abs.twimg.com/images/themes/theme1/bg.png")</f>
        <v>https://abs.twimg.com/images/themes/theme1/bg.png</v>
      </c>
      <c r="AW20" s="89" t="b">
        <v>0</v>
      </c>
      <c r="AX20" s="89" t="s">
        <v>2300</v>
      </c>
      <c r="AY20" s="95" t="str">
        <f>HYPERLINK("https://twitter.com/hpekk")</f>
        <v>https://twitter.com/hpekk</v>
      </c>
      <c r="AZ20" s="89" t="s">
        <v>65</v>
      </c>
      <c r="BA20" s="89"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382</v>
      </c>
      <c r="B21" s="66"/>
      <c r="C21" s="66" t="s">
        <v>46</v>
      </c>
      <c r="D21" s="67">
        <v>10</v>
      </c>
      <c r="E21" s="69"/>
      <c r="F21" s="111" t="str">
        <f>HYPERLINK("https://pbs.twimg.com/profile_images/1423379687259131909/SqBfctoM_normal.jpg")</f>
        <v>https://pbs.twimg.com/profile_images/1423379687259131909/SqBfctoM_normal.jpg</v>
      </c>
      <c r="G21" s="66"/>
      <c r="H21" s="70" t="s">
        <v>382</v>
      </c>
      <c r="I21" s="71" t="s">
        <v>5823</v>
      </c>
      <c r="J21" s="71" t="s">
        <v>75</v>
      </c>
      <c r="K21" s="70" t="s">
        <v>2318</v>
      </c>
      <c r="L21" s="74">
        <v>477.0952380952381</v>
      </c>
      <c r="M21" s="75">
        <v>8948.5732421875</v>
      </c>
      <c r="N21" s="75">
        <v>4964.37451171875</v>
      </c>
      <c r="O21" s="76"/>
      <c r="P21" s="77"/>
      <c r="Q21" s="77"/>
      <c r="R21" s="104"/>
      <c r="S21" s="49">
        <v>1</v>
      </c>
      <c r="T21" s="49">
        <v>0</v>
      </c>
      <c r="U21" s="50">
        <v>0</v>
      </c>
      <c r="V21" s="50">
        <v>0.2</v>
      </c>
      <c r="W21" s="50">
        <v>0</v>
      </c>
      <c r="X21" s="50">
        <v>0.693693</v>
      </c>
      <c r="Y21" s="50">
        <v>0</v>
      </c>
      <c r="Z21" s="50">
        <v>0</v>
      </c>
      <c r="AA21" s="72">
        <v>21</v>
      </c>
      <c r="AB21" s="72"/>
      <c r="AC21" s="73"/>
      <c r="AD21" s="89" t="s">
        <v>1494</v>
      </c>
      <c r="AE21" s="102" t="s">
        <v>1341</v>
      </c>
      <c r="AF21" s="89">
        <v>540</v>
      </c>
      <c r="AG21" s="89">
        <v>593</v>
      </c>
      <c r="AH21" s="89">
        <v>19870</v>
      </c>
      <c r="AI21" s="89">
        <v>73853</v>
      </c>
      <c r="AJ21" s="89"/>
      <c r="AK21" s="89" t="s">
        <v>1982</v>
      </c>
      <c r="AL21" s="89"/>
      <c r="AM21" s="89"/>
      <c r="AN21" s="89"/>
      <c r="AO21" s="92">
        <v>44202.92685185185</v>
      </c>
      <c r="AP21" s="95" t="str">
        <f>HYPERLINK("https://pbs.twimg.com/profile_banners/1346943221067370504/1638124401")</f>
        <v>https://pbs.twimg.com/profile_banners/1346943221067370504/1638124401</v>
      </c>
      <c r="AQ21" s="89" t="b">
        <v>1</v>
      </c>
      <c r="AR21" s="89" t="b">
        <v>0</v>
      </c>
      <c r="AS21" s="89" t="b">
        <v>0</v>
      </c>
      <c r="AT21" s="89"/>
      <c r="AU21" s="89">
        <v>9</v>
      </c>
      <c r="AV21" s="89"/>
      <c r="AW21" s="89" t="b">
        <v>0</v>
      </c>
      <c r="AX21" s="89" t="s">
        <v>2300</v>
      </c>
      <c r="AY21" s="95" t="str">
        <f>HYPERLINK("https://twitter.com/nymanveepee")</f>
        <v>https://twitter.com/nymanveepee</v>
      </c>
      <c r="AZ21" s="89" t="s">
        <v>65</v>
      </c>
      <c r="BA21" s="89"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234</v>
      </c>
      <c r="B22" s="66"/>
      <c r="C22" s="66" t="s">
        <v>46</v>
      </c>
      <c r="D22" s="67">
        <v>10</v>
      </c>
      <c r="E22" s="69"/>
      <c r="F22" s="111" t="str">
        <f>HYPERLINK("https://pbs.twimg.com/profile_images/1457530301194850304/O8p1FMBf_normal.jpg")</f>
        <v>https://pbs.twimg.com/profile_images/1457530301194850304/O8p1FMBf_normal.jpg</v>
      </c>
      <c r="G22" s="66"/>
      <c r="H22" s="70" t="s">
        <v>234</v>
      </c>
      <c r="I22" s="71" t="s">
        <v>5824</v>
      </c>
      <c r="J22" s="71" t="s">
        <v>73</v>
      </c>
      <c r="K22" s="70" t="s">
        <v>2319</v>
      </c>
      <c r="L22" s="74">
        <v>477.0952380952381</v>
      </c>
      <c r="M22" s="75"/>
      <c r="N22" s="75"/>
      <c r="O22" s="76"/>
      <c r="P22" s="77"/>
      <c r="Q22" s="77"/>
      <c r="R22" s="104"/>
      <c r="S22" s="49">
        <v>1</v>
      </c>
      <c r="T22" s="49">
        <v>1</v>
      </c>
      <c r="U22" s="50">
        <v>0</v>
      </c>
      <c r="V22" s="50">
        <v>0</v>
      </c>
      <c r="W22" s="50">
        <v>0</v>
      </c>
      <c r="X22" s="50">
        <v>0.999998</v>
      </c>
      <c r="Y22" s="50">
        <v>0</v>
      </c>
      <c r="Z22" s="50">
        <v>0</v>
      </c>
      <c r="AA22" s="72">
        <v>22</v>
      </c>
      <c r="AB22" s="72"/>
      <c r="AC22" s="73"/>
      <c r="AD22" s="89" t="s">
        <v>1495</v>
      </c>
      <c r="AE22" s="102" t="s">
        <v>1785</v>
      </c>
      <c r="AF22" s="89">
        <v>45</v>
      </c>
      <c r="AG22" s="89">
        <v>68</v>
      </c>
      <c r="AH22" s="89">
        <v>2986</v>
      </c>
      <c r="AI22" s="89">
        <v>4305</v>
      </c>
      <c r="AJ22" s="89"/>
      <c r="AK22" s="89" t="s">
        <v>1983</v>
      </c>
      <c r="AL22" s="89"/>
      <c r="AM22" s="89"/>
      <c r="AN22" s="89"/>
      <c r="AO22" s="92">
        <v>44508.087222222224</v>
      </c>
      <c r="AP22" s="89"/>
      <c r="AQ22" s="89" t="b">
        <v>1</v>
      </c>
      <c r="AR22" s="89" t="b">
        <v>0</v>
      </c>
      <c r="AS22" s="89" t="b">
        <v>0</v>
      </c>
      <c r="AT22" s="89"/>
      <c r="AU22" s="89">
        <v>0</v>
      </c>
      <c r="AV22" s="89"/>
      <c r="AW22" s="89" t="b">
        <v>0</v>
      </c>
      <c r="AX22" s="89" t="s">
        <v>2300</v>
      </c>
      <c r="AY22" s="95" t="str">
        <f>HYPERLINK("https://twitter.com/kirsi_anneli")</f>
        <v>https://twitter.com/kirsi_anneli</v>
      </c>
      <c r="AZ22" s="89" t="s">
        <v>66</v>
      </c>
      <c r="BA22" s="89" t="str">
        <f>REPLACE(INDEX(GroupVertices[Group],MATCH(Vertices[[#This Row],[Vertex]],GroupVertices[Vertex],0)),1,1,"")</f>
        <v>16</v>
      </c>
      <c r="BB22" s="49">
        <v>0</v>
      </c>
      <c r="BC22" s="50">
        <v>0</v>
      </c>
      <c r="BD22" s="49">
        <v>0</v>
      </c>
      <c r="BE22" s="50">
        <v>0</v>
      </c>
      <c r="BF22" s="49">
        <v>0</v>
      </c>
      <c r="BG22" s="50">
        <v>0</v>
      </c>
      <c r="BH22" s="49">
        <v>29</v>
      </c>
      <c r="BI22" s="50">
        <v>100</v>
      </c>
      <c r="BJ22" s="49">
        <v>29</v>
      </c>
      <c r="BK22" s="49" t="s">
        <v>5508</v>
      </c>
      <c r="BL22" s="49" t="s">
        <v>5508</v>
      </c>
      <c r="BM22" s="49" t="s">
        <v>690</v>
      </c>
      <c r="BN22" s="49" t="s">
        <v>690</v>
      </c>
      <c r="BO22" s="49"/>
      <c r="BP22" s="49"/>
      <c r="BQ22" s="123" t="s">
        <v>5545</v>
      </c>
      <c r="BR22" s="123" t="s">
        <v>5545</v>
      </c>
      <c r="BS22" s="123" t="s">
        <v>5697</v>
      </c>
      <c r="BT22" s="123" t="s">
        <v>5697</v>
      </c>
      <c r="BU22" s="2"/>
      <c r="BV22" s="3"/>
      <c r="BW22" s="3"/>
      <c r="BX22" s="3"/>
      <c r="BY22" s="3"/>
    </row>
    <row r="23" spans="1:77" ht="15">
      <c r="A23" s="65" t="s">
        <v>235</v>
      </c>
      <c r="B23" s="66"/>
      <c r="C23" s="66" t="s">
        <v>46</v>
      </c>
      <c r="D23" s="67"/>
      <c r="E23" s="69"/>
      <c r="F23" s="111" t="str">
        <f>HYPERLINK("https://pbs.twimg.com/profile_images/1457806319017136140/kj6vcSDW_normal.jpg")</f>
        <v>https://pbs.twimg.com/profile_images/1457806319017136140/kj6vcSDW_normal.jpg</v>
      </c>
      <c r="G23" s="66"/>
      <c r="H23" s="70" t="s">
        <v>235</v>
      </c>
      <c r="I23" s="71" t="s">
        <v>5825</v>
      </c>
      <c r="J23" s="71" t="s">
        <v>73</v>
      </c>
      <c r="K23" s="70" t="s">
        <v>2320</v>
      </c>
      <c r="L23" s="74">
        <v>1</v>
      </c>
      <c r="M23" s="75">
        <v>8754.087890625</v>
      </c>
      <c r="N23" s="75">
        <v>6991.79296875</v>
      </c>
      <c r="O23" s="76"/>
      <c r="P23" s="77"/>
      <c r="Q23" s="77"/>
      <c r="R23" s="104"/>
      <c r="S23" s="49">
        <v>0</v>
      </c>
      <c r="T23" s="49">
        <v>3</v>
      </c>
      <c r="U23" s="50">
        <v>788.494805</v>
      </c>
      <c r="V23" s="50">
        <v>0.00077</v>
      </c>
      <c r="W23" s="50">
        <v>0.000685</v>
      </c>
      <c r="X23" s="50">
        <v>1.242403</v>
      </c>
      <c r="Y23" s="50">
        <v>0</v>
      </c>
      <c r="Z23" s="50">
        <v>0</v>
      </c>
      <c r="AA23" s="72">
        <v>23</v>
      </c>
      <c r="AB23" s="72"/>
      <c r="AC23" s="73"/>
      <c r="AD23" s="89" t="s">
        <v>1496</v>
      </c>
      <c r="AE23" s="102" t="s">
        <v>1786</v>
      </c>
      <c r="AF23" s="89">
        <v>400</v>
      </c>
      <c r="AG23" s="89">
        <v>236</v>
      </c>
      <c r="AH23" s="89">
        <v>1201</v>
      </c>
      <c r="AI23" s="89">
        <v>28200</v>
      </c>
      <c r="AJ23" s="89"/>
      <c r="AK23" s="89" t="s">
        <v>1984</v>
      </c>
      <c r="AL23" s="89" t="s">
        <v>2223</v>
      </c>
      <c r="AM23" s="89"/>
      <c r="AN23" s="89"/>
      <c r="AO23" s="92">
        <v>43814.86777777778</v>
      </c>
      <c r="AP23" s="95" t="str">
        <f>HYPERLINK("https://pbs.twimg.com/profile_banners/1206315356832305152/1636403130")</f>
        <v>https://pbs.twimg.com/profile_banners/1206315356832305152/1636403130</v>
      </c>
      <c r="AQ23" s="89" t="b">
        <v>1</v>
      </c>
      <c r="AR23" s="89" t="b">
        <v>0</v>
      </c>
      <c r="AS23" s="89" t="b">
        <v>0</v>
      </c>
      <c r="AT23" s="89"/>
      <c r="AU23" s="89">
        <v>0</v>
      </c>
      <c r="AV23" s="89"/>
      <c r="AW23" s="89" t="b">
        <v>0</v>
      </c>
      <c r="AX23" s="89" t="s">
        <v>2300</v>
      </c>
      <c r="AY23" s="95" t="str">
        <f>HYPERLINK("https://twitter.com/miaumaumiu")</f>
        <v>https://twitter.com/miaumaumiu</v>
      </c>
      <c r="AZ23" s="89" t="s">
        <v>66</v>
      </c>
      <c r="BA23" s="89" t="str">
        <f>REPLACE(INDEX(GroupVertices[Group],MATCH(Vertices[[#This Row],[Vertex]],GroupVertices[Vertex],0)),1,1,"")</f>
        <v>6</v>
      </c>
      <c r="BB23" s="49">
        <v>0</v>
      </c>
      <c r="BC23" s="50">
        <v>0</v>
      </c>
      <c r="BD23" s="49">
        <v>0</v>
      </c>
      <c r="BE23" s="50">
        <v>0</v>
      </c>
      <c r="BF23" s="49">
        <v>0</v>
      </c>
      <c r="BG23" s="50">
        <v>0</v>
      </c>
      <c r="BH23" s="49">
        <v>18</v>
      </c>
      <c r="BI23" s="50">
        <v>100</v>
      </c>
      <c r="BJ23" s="49">
        <v>18</v>
      </c>
      <c r="BK23" s="49"/>
      <c r="BL23" s="49"/>
      <c r="BM23" s="49"/>
      <c r="BN23" s="49"/>
      <c r="BO23" s="49"/>
      <c r="BP23" s="49"/>
      <c r="BQ23" s="123" t="s">
        <v>5546</v>
      </c>
      <c r="BR23" s="123" t="s">
        <v>5546</v>
      </c>
      <c r="BS23" s="123" t="s">
        <v>5698</v>
      </c>
      <c r="BT23" s="123" t="s">
        <v>5698</v>
      </c>
      <c r="BU23" s="2"/>
      <c r="BV23" s="3"/>
      <c r="BW23" s="3"/>
      <c r="BX23" s="3"/>
      <c r="BY23" s="3"/>
    </row>
    <row r="24" spans="1:77" ht="15">
      <c r="A24" s="65" t="s">
        <v>383</v>
      </c>
      <c r="B24" s="66"/>
      <c r="C24" s="66" t="s">
        <v>46</v>
      </c>
      <c r="D24" s="67">
        <v>10</v>
      </c>
      <c r="E24" s="69"/>
      <c r="F24" s="111" t="str">
        <f>HYPERLINK("https://pbs.twimg.com/profile_images/1424373585943142404/IxBreh-b_normal.jpg")</f>
        <v>https://pbs.twimg.com/profile_images/1424373585943142404/IxBreh-b_normal.jpg</v>
      </c>
      <c r="G24" s="66"/>
      <c r="H24" s="70" t="s">
        <v>383</v>
      </c>
      <c r="I24" s="71" t="s">
        <v>5825</v>
      </c>
      <c r="J24" s="71" t="s">
        <v>75</v>
      </c>
      <c r="K24" s="70" t="s">
        <v>2321</v>
      </c>
      <c r="L24" s="74">
        <v>477.0952380952381</v>
      </c>
      <c r="M24" s="75">
        <v>8776.205078125</v>
      </c>
      <c r="N24" s="75">
        <v>6322.552734375</v>
      </c>
      <c r="O24" s="76"/>
      <c r="P24" s="77"/>
      <c r="Q24" s="77"/>
      <c r="R24" s="104"/>
      <c r="S24" s="49">
        <v>1</v>
      </c>
      <c r="T24" s="49">
        <v>0</v>
      </c>
      <c r="U24" s="50">
        <v>0</v>
      </c>
      <c r="V24" s="50">
        <v>0.0006490000000000001</v>
      </c>
      <c r="W24" s="50">
        <v>8E-05</v>
      </c>
      <c r="X24" s="50">
        <v>0.502014</v>
      </c>
      <c r="Y24" s="50">
        <v>0</v>
      </c>
      <c r="Z24" s="50">
        <v>0</v>
      </c>
      <c r="AA24" s="72">
        <v>24</v>
      </c>
      <c r="AB24" s="72"/>
      <c r="AC24" s="73"/>
      <c r="AD24" s="89" t="s">
        <v>1497</v>
      </c>
      <c r="AE24" s="102" t="s">
        <v>1787</v>
      </c>
      <c r="AF24" s="89">
        <v>4018</v>
      </c>
      <c r="AG24" s="89">
        <v>3721</v>
      </c>
      <c r="AH24" s="89">
        <v>246570</v>
      </c>
      <c r="AI24" s="89">
        <v>146704</v>
      </c>
      <c r="AJ24" s="89"/>
      <c r="AK24" s="89" t="s">
        <v>1985</v>
      </c>
      <c r="AL24" s="89" t="s">
        <v>2224</v>
      </c>
      <c r="AM24" s="89"/>
      <c r="AN24" s="89"/>
      <c r="AO24" s="92">
        <v>41537.53260416666</v>
      </c>
      <c r="AP24" s="95" t="str">
        <f>HYPERLINK("https://pbs.twimg.com/profile_banners/1886444366/1634034392")</f>
        <v>https://pbs.twimg.com/profile_banners/1886444366/1634034392</v>
      </c>
      <c r="AQ24" s="89" t="b">
        <v>1</v>
      </c>
      <c r="AR24" s="89" t="b">
        <v>0</v>
      </c>
      <c r="AS24" s="89" t="b">
        <v>0</v>
      </c>
      <c r="AT24" s="89"/>
      <c r="AU24" s="89">
        <v>80</v>
      </c>
      <c r="AV24" s="95" t="str">
        <f>HYPERLINK("https://abs.twimg.com/images/themes/theme1/bg.png")</f>
        <v>https://abs.twimg.com/images/themes/theme1/bg.png</v>
      </c>
      <c r="AW24" s="89" t="b">
        <v>0</v>
      </c>
      <c r="AX24" s="89" t="s">
        <v>2300</v>
      </c>
      <c r="AY24" s="95" t="str">
        <f>HYPERLINK("https://twitter.com/jantunenkaarina")</f>
        <v>https://twitter.com/jantunenkaarina</v>
      </c>
      <c r="AZ24" s="89" t="s">
        <v>65</v>
      </c>
      <c r="BA24" s="89"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384</v>
      </c>
      <c r="B25" s="66"/>
      <c r="C25" s="66" t="s">
        <v>64</v>
      </c>
      <c r="D25" s="67">
        <v>392.9842791621962</v>
      </c>
      <c r="E25" s="69"/>
      <c r="F25" s="111" t="str">
        <f>HYPERLINK("https://pbs.twimg.com/profile_images/928538330077237248/PUv-u3qY_normal.jpg")</f>
        <v>https://pbs.twimg.com/profile_images/928538330077237248/PUv-u3qY_normal.jpg</v>
      </c>
      <c r="G25" s="66"/>
      <c r="H25" s="70" t="s">
        <v>384</v>
      </c>
      <c r="I25" s="71" t="s">
        <v>5825</v>
      </c>
      <c r="J25" s="71" t="s">
        <v>75</v>
      </c>
      <c r="K25" s="70" t="s">
        <v>2322</v>
      </c>
      <c r="L25" s="74">
        <v>953.1904761904761</v>
      </c>
      <c r="M25" s="75">
        <v>8379.1904296875</v>
      </c>
      <c r="N25" s="75">
        <v>7294.50048828125</v>
      </c>
      <c r="O25" s="76"/>
      <c r="P25" s="77"/>
      <c r="Q25" s="77"/>
      <c r="R25" s="104"/>
      <c r="S25" s="49">
        <v>2</v>
      </c>
      <c r="T25" s="49">
        <v>0</v>
      </c>
      <c r="U25" s="50">
        <v>119.833333</v>
      </c>
      <c r="V25" s="50">
        <v>0.000685</v>
      </c>
      <c r="W25" s="50">
        <v>0.000135</v>
      </c>
      <c r="X25" s="50">
        <v>0.872745</v>
      </c>
      <c r="Y25" s="50">
        <v>0</v>
      </c>
      <c r="Z25" s="50">
        <v>0</v>
      </c>
      <c r="AA25" s="72">
        <v>25</v>
      </c>
      <c r="AB25" s="72"/>
      <c r="AC25" s="73"/>
      <c r="AD25" s="89" t="s">
        <v>1498</v>
      </c>
      <c r="AE25" s="102" t="s">
        <v>1788</v>
      </c>
      <c r="AF25" s="89">
        <v>213</v>
      </c>
      <c r="AG25" s="89">
        <v>273676</v>
      </c>
      <c r="AH25" s="89">
        <v>259562</v>
      </c>
      <c r="AI25" s="89">
        <v>4</v>
      </c>
      <c r="AJ25" s="89"/>
      <c r="AK25" s="89" t="s">
        <v>1986</v>
      </c>
      <c r="AL25" s="89" t="s">
        <v>2223</v>
      </c>
      <c r="AM25" s="95" t="str">
        <f>HYPERLINK("https://t.co/lnluImu2zm")</f>
        <v>https://t.co/lnluImu2zm</v>
      </c>
      <c r="AN25" s="89"/>
      <c r="AO25" s="92">
        <v>39908.8569212963</v>
      </c>
      <c r="AP25" s="95" t="str">
        <f>HYPERLINK("https://pbs.twimg.com/profile_banners/29057955/1583140126")</f>
        <v>https://pbs.twimg.com/profile_banners/29057955/1583140126</v>
      </c>
      <c r="AQ25" s="89" t="b">
        <v>0</v>
      </c>
      <c r="AR25" s="89" t="b">
        <v>0</v>
      </c>
      <c r="AS25" s="89" t="b">
        <v>1</v>
      </c>
      <c r="AT25" s="89"/>
      <c r="AU25" s="89">
        <v>802</v>
      </c>
      <c r="AV25" s="95" t="str">
        <f>HYPERLINK("https://abs.twimg.com/images/themes/theme7/bg.gif")</f>
        <v>https://abs.twimg.com/images/themes/theme7/bg.gif</v>
      </c>
      <c r="AW25" s="89" t="b">
        <v>1</v>
      </c>
      <c r="AX25" s="89" t="s">
        <v>2300</v>
      </c>
      <c r="AY25" s="95" t="str">
        <f>HYPERLINK("https://twitter.com/iltasanomat")</f>
        <v>https://twitter.com/iltasanomat</v>
      </c>
      <c r="AZ25" s="89" t="s">
        <v>65</v>
      </c>
      <c r="BA25" s="89"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385</v>
      </c>
      <c r="B26" s="66"/>
      <c r="C26" s="66" t="s">
        <v>64</v>
      </c>
      <c r="D26" s="67">
        <v>899.2619576868879</v>
      </c>
      <c r="E26" s="69"/>
      <c r="F26" s="111" t="str">
        <f>HYPERLINK("https://pbs.twimg.com/profile_images/868484807659065346/PaVwTEEd_normal.jpg")</f>
        <v>https://pbs.twimg.com/profile_images/868484807659065346/PaVwTEEd_normal.jpg</v>
      </c>
      <c r="G26" s="66"/>
      <c r="H26" s="70" t="s">
        <v>385</v>
      </c>
      <c r="I26" s="71" t="s">
        <v>5825</v>
      </c>
      <c r="J26" s="71" t="s">
        <v>75</v>
      </c>
      <c r="K26" s="70" t="s">
        <v>2323</v>
      </c>
      <c r="L26" s="74">
        <v>2381.4761904761904</v>
      </c>
      <c r="M26" s="75">
        <v>9129.4443359375</v>
      </c>
      <c r="N26" s="75">
        <v>7502.87939453125</v>
      </c>
      <c r="O26" s="76"/>
      <c r="P26" s="77"/>
      <c r="Q26" s="77"/>
      <c r="R26" s="104"/>
      <c r="S26" s="49">
        <v>5</v>
      </c>
      <c r="T26" s="49">
        <v>0</v>
      </c>
      <c r="U26" s="50">
        <v>2807.7329</v>
      </c>
      <c r="V26" s="50">
        <v>0.000935</v>
      </c>
      <c r="W26" s="50">
        <v>0.005659</v>
      </c>
      <c r="X26" s="50">
        <v>1.733969</v>
      </c>
      <c r="Y26" s="50">
        <v>0</v>
      </c>
      <c r="Z26" s="50">
        <v>0</v>
      </c>
      <c r="AA26" s="72">
        <v>26</v>
      </c>
      <c r="AB26" s="72"/>
      <c r="AC26" s="73"/>
      <c r="AD26" s="89" t="s">
        <v>1499</v>
      </c>
      <c r="AE26" s="102" t="s">
        <v>1342</v>
      </c>
      <c r="AF26" s="89">
        <v>379</v>
      </c>
      <c r="AG26" s="89">
        <v>12943</v>
      </c>
      <c r="AH26" s="89">
        <v>15470</v>
      </c>
      <c r="AI26" s="89">
        <v>14837</v>
      </c>
      <c r="AJ26" s="89"/>
      <c r="AK26" s="89" t="s">
        <v>1987</v>
      </c>
      <c r="AL26" s="89" t="s">
        <v>2218</v>
      </c>
      <c r="AM26" s="95" t="str">
        <f>HYPERLINK("https://t.co/HttjjDdt3n")</f>
        <v>https://t.co/HttjjDdt3n</v>
      </c>
      <c r="AN26" s="89"/>
      <c r="AO26" s="92">
        <v>41121.82283564815</v>
      </c>
      <c r="AP26" s="95" t="str">
        <f>HYPERLINK("https://pbs.twimg.com/profile_banners/729092700/1495898631")</f>
        <v>https://pbs.twimg.com/profile_banners/729092700/1495898631</v>
      </c>
      <c r="AQ26" s="89" t="b">
        <v>0</v>
      </c>
      <c r="AR26" s="89" t="b">
        <v>0</v>
      </c>
      <c r="AS26" s="89" t="b">
        <v>0</v>
      </c>
      <c r="AT26" s="89"/>
      <c r="AU26" s="89">
        <v>52</v>
      </c>
      <c r="AV26" s="95" t="str">
        <f>HYPERLINK("https://abs.twimg.com/images/themes/theme1/bg.png")</f>
        <v>https://abs.twimg.com/images/themes/theme1/bg.png</v>
      </c>
      <c r="AW26" s="89" t="b">
        <v>0</v>
      </c>
      <c r="AX26" s="89" t="s">
        <v>2300</v>
      </c>
      <c r="AY26" s="95" t="str">
        <f>HYPERLINK("https://twitter.com/lasleh")</f>
        <v>https://twitter.com/lasleh</v>
      </c>
      <c r="AZ26" s="89" t="s">
        <v>65</v>
      </c>
      <c r="BA26" s="89"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236</v>
      </c>
      <c r="B27" s="66"/>
      <c r="C27" s="66" t="s">
        <v>46</v>
      </c>
      <c r="D27" s="67"/>
      <c r="E27" s="69"/>
      <c r="F27" s="111" t="str">
        <f>HYPERLINK("https://pbs.twimg.com/profile_images/1315721785879519232/1jyKLk41_normal.jpg")</f>
        <v>https://pbs.twimg.com/profile_images/1315721785879519232/1jyKLk41_normal.jpg</v>
      </c>
      <c r="G27" s="66"/>
      <c r="H27" s="70" t="s">
        <v>236</v>
      </c>
      <c r="I27" s="71" t="s">
        <v>5826</v>
      </c>
      <c r="J27" s="71" t="s">
        <v>73</v>
      </c>
      <c r="K27" s="70" t="s">
        <v>2324</v>
      </c>
      <c r="L27" s="74">
        <v>1</v>
      </c>
      <c r="M27" s="75">
        <v>6549.900390625</v>
      </c>
      <c r="N27" s="75">
        <v>3512.53369140625</v>
      </c>
      <c r="O27" s="76"/>
      <c r="P27" s="77"/>
      <c r="Q27" s="77"/>
      <c r="R27" s="104"/>
      <c r="S27" s="49">
        <v>0</v>
      </c>
      <c r="T27" s="49">
        <v>2</v>
      </c>
      <c r="U27" s="50">
        <v>0</v>
      </c>
      <c r="V27" s="50">
        <v>0.000637</v>
      </c>
      <c r="W27" s="50">
        <v>4.5E-05</v>
      </c>
      <c r="X27" s="50">
        <v>0.693536</v>
      </c>
      <c r="Y27" s="50">
        <v>0.5</v>
      </c>
      <c r="Z27" s="50">
        <v>0</v>
      </c>
      <c r="AA27" s="72">
        <v>27</v>
      </c>
      <c r="AB27" s="72"/>
      <c r="AC27" s="73"/>
      <c r="AD27" s="89" t="s">
        <v>1500</v>
      </c>
      <c r="AE27" s="102" t="s">
        <v>1789</v>
      </c>
      <c r="AF27" s="89">
        <v>254</v>
      </c>
      <c r="AG27" s="89">
        <v>80</v>
      </c>
      <c r="AH27" s="89">
        <v>3998</v>
      </c>
      <c r="AI27" s="89">
        <v>2746</v>
      </c>
      <c r="AJ27" s="89"/>
      <c r="AK27" s="89" t="s">
        <v>1988</v>
      </c>
      <c r="AL27" s="89" t="s">
        <v>2225</v>
      </c>
      <c r="AM27" s="89"/>
      <c r="AN27" s="89"/>
      <c r="AO27" s="92">
        <v>41041.61859953704</v>
      </c>
      <c r="AP27" s="89"/>
      <c r="AQ27" s="89" t="b">
        <v>1</v>
      </c>
      <c r="AR27" s="89" t="b">
        <v>0</v>
      </c>
      <c r="AS27" s="89" t="b">
        <v>0</v>
      </c>
      <c r="AT27" s="89"/>
      <c r="AU27" s="89">
        <v>2</v>
      </c>
      <c r="AV27" s="95" t="str">
        <f>HYPERLINK("https://abs.twimg.com/images/themes/theme1/bg.png")</f>
        <v>https://abs.twimg.com/images/themes/theme1/bg.png</v>
      </c>
      <c r="AW27" s="89" t="b">
        <v>0</v>
      </c>
      <c r="AX27" s="89" t="s">
        <v>2300</v>
      </c>
      <c r="AY27" s="95" t="str">
        <f>HYPERLINK("https://twitter.com/tomz0r")</f>
        <v>https://twitter.com/tomz0r</v>
      </c>
      <c r="AZ27" s="89" t="s">
        <v>66</v>
      </c>
      <c r="BA27" s="89" t="str">
        <f>REPLACE(INDEX(GroupVertices[Group],MATCH(Vertices[[#This Row],[Vertex]],GroupVertices[Vertex],0)),1,1,"")</f>
        <v>10</v>
      </c>
      <c r="BB27" s="49">
        <v>0</v>
      </c>
      <c r="BC27" s="50">
        <v>0</v>
      </c>
      <c r="BD27" s="49">
        <v>0</v>
      </c>
      <c r="BE27" s="50">
        <v>0</v>
      </c>
      <c r="BF27" s="49">
        <v>0</v>
      </c>
      <c r="BG27" s="50">
        <v>0</v>
      </c>
      <c r="BH27" s="49">
        <v>30</v>
      </c>
      <c r="BI27" s="50">
        <v>100</v>
      </c>
      <c r="BJ27" s="49">
        <v>30</v>
      </c>
      <c r="BK27" s="49"/>
      <c r="BL27" s="49"/>
      <c r="BM27" s="49"/>
      <c r="BN27" s="49"/>
      <c r="BO27" s="49"/>
      <c r="BP27" s="49"/>
      <c r="BQ27" s="123" t="s">
        <v>5547</v>
      </c>
      <c r="BR27" s="123" t="s">
        <v>5547</v>
      </c>
      <c r="BS27" s="123" t="s">
        <v>5699</v>
      </c>
      <c r="BT27" s="123" t="s">
        <v>5699</v>
      </c>
      <c r="BU27" s="2"/>
      <c r="BV27" s="3"/>
      <c r="BW27" s="3"/>
      <c r="BX27" s="3"/>
      <c r="BY27" s="3"/>
    </row>
    <row r="28" spans="1:77" ht="15">
      <c r="A28" s="65" t="s">
        <v>386</v>
      </c>
      <c r="B28" s="66"/>
      <c r="C28" s="66" t="s">
        <v>64</v>
      </c>
      <c r="D28" s="67">
        <v>617.0157208378039</v>
      </c>
      <c r="E28" s="69"/>
      <c r="F28" s="111" t="str">
        <f>HYPERLINK("https://pbs.twimg.com/profile_images/730013675147255813/v7rZfdlp_normal.jpg")</f>
        <v>https://pbs.twimg.com/profile_images/730013675147255813/v7rZfdlp_normal.jpg</v>
      </c>
      <c r="G28" s="66"/>
      <c r="H28" s="70" t="s">
        <v>386</v>
      </c>
      <c r="I28" s="71" t="s">
        <v>5826</v>
      </c>
      <c r="J28" s="71" t="s">
        <v>75</v>
      </c>
      <c r="K28" s="70" t="s">
        <v>2325</v>
      </c>
      <c r="L28" s="74">
        <v>1429.2857142857142</v>
      </c>
      <c r="M28" s="75">
        <v>6502.005859375</v>
      </c>
      <c r="N28" s="75">
        <v>2639.134033203125</v>
      </c>
      <c r="O28" s="76"/>
      <c r="P28" s="77"/>
      <c r="Q28" s="77"/>
      <c r="R28" s="104"/>
      <c r="S28" s="49">
        <v>3</v>
      </c>
      <c r="T28" s="49">
        <v>0</v>
      </c>
      <c r="U28" s="50">
        <v>1</v>
      </c>
      <c r="V28" s="50">
        <v>0.000637</v>
      </c>
      <c r="W28" s="50">
        <v>5E-05</v>
      </c>
      <c r="X28" s="50">
        <v>0.999773</v>
      </c>
      <c r="Y28" s="50">
        <v>0.3333333333333333</v>
      </c>
      <c r="Z28" s="50">
        <v>0</v>
      </c>
      <c r="AA28" s="72">
        <v>28</v>
      </c>
      <c r="AB28" s="72"/>
      <c r="AC28" s="73"/>
      <c r="AD28" s="89" t="s">
        <v>1501</v>
      </c>
      <c r="AE28" s="102" t="s">
        <v>1790</v>
      </c>
      <c r="AF28" s="89">
        <v>282</v>
      </c>
      <c r="AG28" s="89">
        <v>1392</v>
      </c>
      <c r="AH28" s="89">
        <v>770</v>
      </c>
      <c r="AI28" s="89">
        <v>16</v>
      </c>
      <c r="AJ28" s="89"/>
      <c r="AK28" s="89" t="s">
        <v>1989</v>
      </c>
      <c r="AL28" s="89"/>
      <c r="AM28" s="89"/>
      <c r="AN28" s="89"/>
      <c r="AO28" s="92">
        <v>41210.29503472222</v>
      </c>
      <c r="AP28" s="89"/>
      <c r="AQ28" s="89" t="b">
        <v>1</v>
      </c>
      <c r="AR28" s="89" t="b">
        <v>0</v>
      </c>
      <c r="AS28" s="89" t="b">
        <v>0</v>
      </c>
      <c r="AT28" s="89"/>
      <c r="AU28" s="89">
        <v>4</v>
      </c>
      <c r="AV28" s="95" t="str">
        <f>HYPERLINK("https://abs.twimg.com/images/themes/theme1/bg.png")</f>
        <v>https://abs.twimg.com/images/themes/theme1/bg.png</v>
      </c>
      <c r="AW28" s="89" t="b">
        <v>0</v>
      </c>
      <c r="AX28" s="89" t="s">
        <v>2300</v>
      </c>
      <c r="AY28" s="95" t="str">
        <f>HYPERLINK("https://twitter.com/heikkipalve")</f>
        <v>https://twitter.com/heikkipalve</v>
      </c>
      <c r="AZ28" s="89" t="s">
        <v>65</v>
      </c>
      <c r="BA28" s="89"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331</v>
      </c>
      <c r="B29" s="66"/>
      <c r="C29" s="66" t="s">
        <v>64</v>
      </c>
      <c r="D29" s="67">
        <v>899.2619576868879</v>
      </c>
      <c r="E29" s="69"/>
      <c r="F29" s="111" t="str">
        <f>HYPERLINK("https://pbs.twimg.com/profile_images/1384318223164878848/nlJ4Kzz9_normal.jpg")</f>
        <v>https://pbs.twimg.com/profile_images/1384318223164878848/nlJ4Kzz9_normal.jpg</v>
      </c>
      <c r="G29" s="66"/>
      <c r="H29" s="70" t="s">
        <v>331</v>
      </c>
      <c r="I29" s="71" t="s">
        <v>5826</v>
      </c>
      <c r="J29" s="71" t="s">
        <v>73</v>
      </c>
      <c r="K29" s="70" t="s">
        <v>2326</v>
      </c>
      <c r="L29" s="74">
        <v>2381.4761904761904</v>
      </c>
      <c r="M29" s="75">
        <v>6782.4453125</v>
      </c>
      <c r="N29" s="75">
        <v>2753.580322265625</v>
      </c>
      <c r="O29" s="76"/>
      <c r="P29" s="77"/>
      <c r="Q29" s="77"/>
      <c r="R29" s="104"/>
      <c r="S29" s="49">
        <v>5</v>
      </c>
      <c r="T29" s="49">
        <v>2</v>
      </c>
      <c r="U29" s="50">
        <v>2413</v>
      </c>
      <c r="V29" s="50">
        <v>0.000754</v>
      </c>
      <c r="W29" s="50">
        <v>0.000335</v>
      </c>
      <c r="X29" s="50">
        <v>1.837181</v>
      </c>
      <c r="Y29" s="50">
        <v>0.1</v>
      </c>
      <c r="Z29" s="50">
        <v>0.16666666666666666</v>
      </c>
      <c r="AA29" s="72">
        <v>29</v>
      </c>
      <c r="AB29" s="72"/>
      <c r="AC29" s="73"/>
      <c r="AD29" s="89" t="s">
        <v>1502</v>
      </c>
      <c r="AE29" s="102" t="s">
        <v>1387</v>
      </c>
      <c r="AF29" s="89">
        <v>451</v>
      </c>
      <c r="AG29" s="89">
        <v>557</v>
      </c>
      <c r="AH29" s="89">
        <v>14039</v>
      </c>
      <c r="AI29" s="89">
        <v>3176</v>
      </c>
      <c r="AJ29" s="89"/>
      <c r="AK29" s="89" t="s">
        <v>1990</v>
      </c>
      <c r="AL29" s="89"/>
      <c r="AM29" s="89"/>
      <c r="AN29" s="89"/>
      <c r="AO29" s="92">
        <v>44306.04961805556</v>
      </c>
      <c r="AP29" s="95" t="str">
        <f>HYPERLINK("https://pbs.twimg.com/profile_banners/1384313677743108098/1631259075")</f>
        <v>https://pbs.twimg.com/profile_banners/1384313677743108098/1631259075</v>
      </c>
      <c r="AQ29" s="89" t="b">
        <v>1</v>
      </c>
      <c r="AR29" s="89" t="b">
        <v>0</v>
      </c>
      <c r="AS29" s="89" t="b">
        <v>0</v>
      </c>
      <c r="AT29" s="89"/>
      <c r="AU29" s="89">
        <v>1</v>
      </c>
      <c r="AV29" s="89"/>
      <c r="AW29" s="89" t="b">
        <v>0</v>
      </c>
      <c r="AX29" s="89" t="s">
        <v>2300</v>
      </c>
      <c r="AY29" s="95" t="str">
        <f>HYPERLINK("https://twitter.com/lauri_paavola")</f>
        <v>https://twitter.com/lauri_paavola</v>
      </c>
      <c r="AZ29" s="89" t="s">
        <v>66</v>
      </c>
      <c r="BA29" s="89" t="str">
        <f>REPLACE(INDEX(GroupVertices[Group],MATCH(Vertices[[#This Row],[Vertex]],GroupVertices[Vertex],0)),1,1,"")</f>
        <v>10</v>
      </c>
      <c r="BB29" s="49">
        <v>0</v>
      </c>
      <c r="BC29" s="50">
        <v>0</v>
      </c>
      <c r="BD29" s="49">
        <v>0</v>
      </c>
      <c r="BE29" s="50">
        <v>0</v>
      </c>
      <c r="BF29" s="49">
        <v>0</v>
      </c>
      <c r="BG29" s="50">
        <v>0</v>
      </c>
      <c r="BH29" s="49">
        <v>57</v>
      </c>
      <c r="BI29" s="50">
        <v>100</v>
      </c>
      <c r="BJ29" s="49">
        <v>57</v>
      </c>
      <c r="BK29" s="49" t="s">
        <v>688</v>
      </c>
      <c r="BL29" s="49" t="s">
        <v>688</v>
      </c>
      <c r="BM29" s="49" t="s">
        <v>5246</v>
      </c>
      <c r="BN29" s="49" t="s">
        <v>5246</v>
      </c>
      <c r="BO29" s="49"/>
      <c r="BP29" s="49"/>
      <c r="BQ29" s="123" t="s">
        <v>5548</v>
      </c>
      <c r="BR29" s="123" t="s">
        <v>5653</v>
      </c>
      <c r="BS29" s="123" t="s">
        <v>5700</v>
      </c>
      <c r="BT29" s="123" t="s">
        <v>5700</v>
      </c>
      <c r="BU29" s="2"/>
      <c r="BV29" s="3"/>
      <c r="BW29" s="3"/>
      <c r="BX29" s="3"/>
      <c r="BY29" s="3"/>
    </row>
    <row r="30" spans="1:77" ht="15">
      <c r="A30" s="65" t="s">
        <v>237</v>
      </c>
      <c r="B30" s="66"/>
      <c r="C30" s="66" t="s">
        <v>46</v>
      </c>
      <c r="D30" s="67"/>
      <c r="E30" s="69"/>
      <c r="F30" s="111" t="str">
        <f>HYPERLINK("https://pbs.twimg.com/profile_images/1307236194804170753/h2UstgYN_normal.jpg")</f>
        <v>https://pbs.twimg.com/profile_images/1307236194804170753/h2UstgYN_normal.jpg</v>
      </c>
      <c r="G30" s="66"/>
      <c r="H30" s="70" t="s">
        <v>237</v>
      </c>
      <c r="I30" s="71" t="s">
        <v>5826</v>
      </c>
      <c r="J30" s="71" t="s">
        <v>73</v>
      </c>
      <c r="K30" s="70" t="s">
        <v>2327</v>
      </c>
      <c r="L30" s="74">
        <v>1</v>
      </c>
      <c r="M30" s="75">
        <v>6599.7568359375</v>
      </c>
      <c r="N30" s="75">
        <v>1826.5194091796875</v>
      </c>
      <c r="O30" s="76"/>
      <c r="P30" s="77"/>
      <c r="Q30" s="77"/>
      <c r="R30" s="104"/>
      <c r="S30" s="49">
        <v>0</v>
      </c>
      <c r="T30" s="49">
        <v>2</v>
      </c>
      <c r="U30" s="50">
        <v>0</v>
      </c>
      <c r="V30" s="50">
        <v>0.000637</v>
      </c>
      <c r="W30" s="50">
        <v>4.5E-05</v>
      </c>
      <c r="X30" s="50">
        <v>0.693536</v>
      </c>
      <c r="Y30" s="50">
        <v>0.5</v>
      </c>
      <c r="Z30" s="50">
        <v>0</v>
      </c>
      <c r="AA30" s="72">
        <v>30</v>
      </c>
      <c r="AB30" s="72"/>
      <c r="AC30" s="73"/>
      <c r="AD30" s="89" t="s">
        <v>1503</v>
      </c>
      <c r="AE30" s="102" t="s">
        <v>1791</v>
      </c>
      <c r="AF30" s="89">
        <v>1304</v>
      </c>
      <c r="AG30" s="89">
        <v>424</v>
      </c>
      <c r="AH30" s="89">
        <v>4019</v>
      </c>
      <c r="AI30" s="89">
        <v>38574</v>
      </c>
      <c r="AJ30" s="89"/>
      <c r="AK30" s="89" t="s">
        <v>1991</v>
      </c>
      <c r="AL30" s="89"/>
      <c r="AM30" s="89"/>
      <c r="AN30" s="89"/>
      <c r="AO30" s="92">
        <v>44093.355104166665</v>
      </c>
      <c r="AP30" s="89"/>
      <c r="AQ30" s="89" t="b">
        <v>1</v>
      </c>
      <c r="AR30" s="89" t="b">
        <v>0</v>
      </c>
      <c r="AS30" s="89" t="b">
        <v>0</v>
      </c>
      <c r="AT30" s="89"/>
      <c r="AU30" s="89">
        <v>0</v>
      </c>
      <c r="AV30" s="89"/>
      <c r="AW30" s="89" t="b">
        <v>0</v>
      </c>
      <c r="AX30" s="89" t="s">
        <v>2300</v>
      </c>
      <c r="AY30" s="95" t="str">
        <f>HYPERLINK("https://twitter.com/neongho96790876")</f>
        <v>https://twitter.com/neongho96790876</v>
      </c>
      <c r="AZ30" s="89" t="s">
        <v>66</v>
      </c>
      <c r="BA30" s="89" t="str">
        <f>REPLACE(INDEX(GroupVertices[Group],MATCH(Vertices[[#This Row],[Vertex]],GroupVertices[Vertex],0)),1,1,"")</f>
        <v>10</v>
      </c>
      <c r="BB30" s="49">
        <v>0</v>
      </c>
      <c r="BC30" s="50">
        <v>0</v>
      </c>
      <c r="BD30" s="49">
        <v>0</v>
      </c>
      <c r="BE30" s="50">
        <v>0</v>
      </c>
      <c r="BF30" s="49">
        <v>0</v>
      </c>
      <c r="BG30" s="50">
        <v>0</v>
      </c>
      <c r="BH30" s="49">
        <v>30</v>
      </c>
      <c r="BI30" s="50">
        <v>100</v>
      </c>
      <c r="BJ30" s="49">
        <v>30</v>
      </c>
      <c r="BK30" s="49"/>
      <c r="BL30" s="49"/>
      <c r="BM30" s="49"/>
      <c r="BN30" s="49"/>
      <c r="BO30" s="49"/>
      <c r="BP30" s="49"/>
      <c r="BQ30" s="123" t="s">
        <v>5547</v>
      </c>
      <c r="BR30" s="123" t="s">
        <v>5547</v>
      </c>
      <c r="BS30" s="123" t="s">
        <v>5699</v>
      </c>
      <c r="BT30" s="123" t="s">
        <v>5699</v>
      </c>
      <c r="BU30" s="2"/>
      <c r="BV30" s="3"/>
      <c r="BW30" s="3"/>
      <c r="BX30" s="3"/>
      <c r="BY30" s="3"/>
    </row>
    <row r="31" spans="1:77" ht="15">
      <c r="A31" s="65" t="s">
        <v>238</v>
      </c>
      <c r="B31" s="66"/>
      <c r="C31" s="66" t="s">
        <v>46</v>
      </c>
      <c r="D31" s="67"/>
      <c r="E31" s="69"/>
      <c r="F31" s="111" t="str">
        <f>HYPERLINK("https://pbs.twimg.com/profile_images/1450389213141159937/3JvJiY72_normal.jpg")</f>
        <v>https://pbs.twimg.com/profile_images/1450389213141159937/3JvJiY72_normal.jpg</v>
      </c>
      <c r="G31" s="66"/>
      <c r="H31" s="70" t="s">
        <v>238</v>
      </c>
      <c r="I31" s="71" t="s">
        <v>5827</v>
      </c>
      <c r="J31" s="71" t="s">
        <v>73</v>
      </c>
      <c r="K31" s="70" t="s">
        <v>2328</v>
      </c>
      <c r="L31" s="74">
        <v>1</v>
      </c>
      <c r="M31" s="75">
        <v>5843.2919921875</v>
      </c>
      <c r="N31" s="75">
        <v>2411.5009765625</v>
      </c>
      <c r="O31" s="76"/>
      <c r="P31" s="77"/>
      <c r="Q31" s="77"/>
      <c r="R31" s="104"/>
      <c r="S31" s="49">
        <v>0</v>
      </c>
      <c r="T31" s="49">
        <v>4</v>
      </c>
      <c r="U31" s="50">
        <v>728.009696</v>
      </c>
      <c r="V31" s="50">
        <v>0.000676</v>
      </c>
      <c r="W31" s="50">
        <v>4.8E-05</v>
      </c>
      <c r="X31" s="50">
        <v>1.33002</v>
      </c>
      <c r="Y31" s="50">
        <v>0</v>
      </c>
      <c r="Z31" s="50">
        <v>0</v>
      </c>
      <c r="AA31" s="72">
        <v>31</v>
      </c>
      <c r="AB31" s="72"/>
      <c r="AC31" s="73"/>
      <c r="AD31" s="89" t="s">
        <v>1504</v>
      </c>
      <c r="AE31" s="102" t="s">
        <v>1792</v>
      </c>
      <c r="AF31" s="89">
        <v>594</v>
      </c>
      <c r="AG31" s="89">
        <v>242</v>
      </c>
      <c r="AH31" s="89">
        <v>755</v>
      </c>
      <c r="AI31" s="89">
        <v>3088</v>
      </c>
      <c r="AJ31" s="89"/>
      <c r="AK31" s="89" t="s">
        <v>1992</v>
      </c>
      <c r="AL31" s="89" t="s">
        <v>2226</v>
      </c>
      <c r="AM31" s="89"/>
      <c r="AN31" s="89"/>
      <c r="AO31" s="92">
        <v>43476.70116898148</v>
      </c>
      <c r="AP31" s="95" t="str">
        <f>HYPERLINK("https://pbs.twimg.com/profile_banners/1083767916544385029/1634484644")</f>
        <v>https://pbs.twimg.com/profile_banners/1083767916544385029/1634484644</v>
      </c>
      <c r="AQ31" s="89" t="b">
        <v>1</v>
      </c>
      <c r="AR31" s="89" t="b">
        <v>0</v>
      </c>
      <c r="AS31" s="89" t="b">
        <v>0</v>
      </c>
      <c r="AT31" s="89"/>
      <c r="AU31" s="89">
        <v>1</v>
      </c>
      <c r="AV31" s="89"/>
      <c r="AW31" s="89" t="b">
        <v>0</v>
      </c>
      <c r="AX31" s="89" t="s">
        <v>2300</v>
      </c>
      <c r="AY31" s="95" t="str">
        <f>HYPERLINK("https://twitter.com/_naturisti")</f>
        <v>https://twitter.com/_naturisti</v>
      </c>
      <c r="AZ31" s="89" t="s">
        <v>66</v>
      </c>
      <c r="BA31" s="89" t="str">
        <f>REPLACE(INDEX(GroupVertices[Group],MATCH(Vertices[[#This Row],[Vertex]],GroupVertices[Vertex],0)),1,1,"")</f>
        <v>7</v>
      </c>
      <c r="BB31" s="49">
        <v>0</v>
      </c>
      <c r="BC31" s="50">
        <v>0</v>
      </c>
      <c r="BD31" s="49">
        <v>0</v>
      </c>
      <c r="BE31" s="50">
        <v>0</v>
      </c>
      <c r="BF31" s="49">
        <v>0</v>
      </c>
      <c r="BG31" s="50">
        <v>0</v>
      </c>
      <c r="BH31" s="49">
        <v>10</v>
      </c>
      <c r="BI31" s="50">
        <v>100</v>
      </c>
      <c r="BJ31" s="49">
        <v>10</v>
      </c>
      <c r="BK31" s="49"/>
      <c r="BL31" s="49"/>
      <c r="BM31" s="49"/>
      <c r="BN31" s="49"/>
      <c r="BO31" s="49"/>
      <c r="BP31" s="49"/>
      <c r="BQ31" s="123" t="s">
        <v>5549</v>
      </c>
      <c r="BR31" s="123" t="s">
        <v>5549</v>
      </c>
      <c r="BS31" s="123" t="s">
        <v>5701</v>
      </c>
      <c r="BT31" s="123" t="s">
        <v>5701</v>
      </c>
      <c r="BU31" s="2"/>
      <c r="BV31" s="3"/>
      <c r="BW31" s="3"/>
      <c r="BX31" s="3"/>
      <c r="BY31" s="3"/>
    </row>
    <row r="32" spans="1:77" ht="15">
      <c r="A32" s="65" t="s">
        <v>387</v>
      </c>
      <c r="B32" s="66"/>
      <c r="C32" s="66" t="s">
        <v>64</v>
      </c>
      <c r="D32" s="67">
        <v>392.9842791621962</v>
      </c>
      <c r="E32" s="69"/>
      <c r="F32" s="111" t="str">
        <f>HYPERLINK("https://pbs.twimg.com/profile_images/1461373812172279812/yZo-R85v_normal.jpg")</f>
        <v>https://pbs.twimg.com/profile_images/1461373812172279812/yZo-R85v_normal.jpg</v>
      </c>
      <c r="G32" s="66"/>
      <c r="H32" s="70" t="s">
        <v>387</v>
      </c>
      <c r="I32" s="71" t="s">
        <v>5827</v>
      </c>
      <c r="J32" s="71" t="s">
        <v>75</v>
      </c>
      <c r="K32" s="70" t="s">
        <v>2329</v>
      </c>
      <c r="L32" s="74">
        <v>953.1904761904761</v>
      </c>
      <c r="M32" s="75">
        <v>5835.32373046875</v>
      </c>
      <c r="N32" s="75">
        <v>3044.194091796875</v>
      </c>
      <c r="O32" s="76"/>
      <c r="P32" s="77"/>
      <c r="Q32" s="77"/>
      <c r="R32" s="104"/>
      <c r="S32" s="49">
        <v>2</v>
      </c>
      <c r="T32" s="49">
        <v>0</v>
      </c>
      <c r="U32" s="50">
        <v>1</v>
      </c>
      <c r="V32" s="50">
        <v>0.000582</v>
      </c>
      <c r="W32" s="50">
        <v>1.1E-05</v>
      </c>
      <c r="X32" s="50">
        <v>0.722259</v>
      </c>
      <c r="Y32" s="50">
        <v>0</v>
      </c>
      <c r="Z32" s="50">
        <v>0</v>
      </c>
      <c r="AA32" s="72">
        <v>32</v>
      </c>
      <c r="AB32" s="72"/>
      <c r="AC32" s="73"/>
      <c r="AD32" s="89" t="s">
        <v>1505</v>
      </c>
      <c r="AE32" s="102" t="s">
        <v>1793</v>
      </c>
      <c r="AF32" s="89">
        <v>2866</v>
      </c>
      <c r="AG32" s="89">
        <v>5764</v>
      </c>
      <c r="AH32" s="89">
        <v>11095</v>
      </c>
      <c r="AI32" s="89">
        <v>9481</v>
      </c>
      <c r="AJ32" s="89"/>
      <c r="AK32" s="89" t="s">
        <v>1993</v>
      </c>
      <c r="AL32" s="89" t="s">
        <v>2227</v>
      </c>
      <c r="AM32" s="95" t="str">
        <f>HYPERLINK("https://t.co/0Izo2LuQQX")</f>
        <v>https://t.co/0Izo2LuQQX</v>
      </c>
      <c r="AN32" s="89"/>
      <c r="AO32" s="92">
        <v>41843.62813657407</v>
      </c>
      <c r="AP32" s="89"/>
      <c r="AQ32" s="89" t="b">
        <v>1</v>
      </c>
      <c r="AR32" s="89" t="b">
        <v>0</v>
      </c>
      <c r="AS32" s="89" t="b">
        <v>1</v>
      </c>
      <c r="AT32" s="89"/>
      <c r="AU32" s="89">
        <v>62</v>
      </c>
      <c r="AV32" s="95" t="str">
        <f>HYPERLINK("https://abs.twimg.com/images/themes/theme1/bg.png")</f>
        <v>https://abs.twimg.com/images/themes/theme1/bg.png</v>
      </c>
      <c r="AW32" s="89" t="b">
        <v>0</v>
      </c>
      <c r="AX32" s="89" t="s">
        <v>2300</v>
      </c>
      <c r="AY32" s="95" t="str">
        <f>HYPERLINK("https://twitter.com/elohenri")</f>
        <v>https://twitter.com/elohenri</v>
      </c>
      <c r="AZ32" s="89" t="s">
        <v>65</v>
      </c>
      <c r="BA32" s="89"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388</v>
      </c>
      <c r="B33" s="66"/>
      <c r="C33" s="66" t="s">
        <v>64</v>
      </c>
      <c r="D33" s="67">
        <v>899.2619576868879</v>
      </c>
      <c r="E33" s="69"/>
      <c r="F33" s="111" t="str">
        <f>HYPERLINK("https://pbs.twimg.com/profile_images/820360813034737664/2mHQBkPU_normal.jpg")</f>
        <v>https://pbs.twimg.com/profile_images/820360813034737664/2mHQBkPU_normal.jpg</v>
      </c>
      <c r="G33" s="66"/>
      <c r="H33" s="70" t="s">
        <v>388</v>
      </c>
      <c r="I33" s="71" t="s">
        <v>5827</v>
      </c>
      <c r="J33" s="71" t="s">
        <v>75</v>
      </c>
      <c r="K33" s="70" t="s">
        <v>2330</v>
      </c>
      <c r="L33" s="74">
        <v>2381.4761904761904</v>
      </c>
      <c r="M33" s="75">
        <v>5654.49462890625</v>
      </c>
      <c r="N33" s="75">
        <v>1744.106689453125</v>
      </c>
      <c r="O33" s="76"/>
      <c r="P33" s="77"/>
      <c r="Q33" s="77"/>
      <c r="R33" s="104"/>
      <c r="S33" s="49">
        <v>5</v>
      </c>
      <c r="T33" s="49">
        <v>0</v>
      </c>
      <c r="U33" s="50">
        <v>3364.913401</v>
      </c>
      <c r="V33" s="50">
        <v>0.000772</v>
      </c>
      <c r="W33" s="50">
        <v>6.7E-05</v>
      </c>
      <c r="X33" s="50">
        <v>1.581032</v>
      </c>
      <c r="Y33" s="50">
        <v>0.05</v>
      </c>
      <c r="Z33" s="50">
        <v>0</v>
      </c>
      <c r="AA33" s="72">
        <v>33</v>
      </c>
      <c r="AB33" s="72"/>
      <c r="AC33" s="73"/>
      <c r="AD33" s="89" t="s">
        <v>1506</v>
      </c>
      <c r="AE33" s="102" t="s">
        <v>1794</v>
      </c>
      <c r="AF33" s="89">
        <v>404</v>
      </c>
      <c r="AG33" s="89">
        <v>27426</v>
      </c>
      <c r="AH33" s="89">
        <v>4194</v>
      </c>
      <c r="AI33" s="89">
        <v>7191</v>
      </c>
      <c r="AJ33" s="89"/>
      <c r="AK33" s="89" t="s">
        <v>1994</v>
      </c>
      <c r="AL33" s="89" t="s">
        <v>2228</v>
      </c>
      <c r="AM33" s="95" t="str">
        <f>HYPERLINK("https://t.co/m7FKAmWQoB")</f>
        <v>https://t.co/m7FKAmWQoB</v>
      </c>
      <c r="AN33" s="89"/>
      <c r="AO33" s="92">
        <v>41259.3452662037</v>
      </c>
      <c r="AP33" s="95" t="str">
        <f>HYPERLINK("https://pbs.twimg.com/profile_banners/1014742658/1469869389")</f>
        <v>https://pbs.twimg.com/profile_banners/1014742658/1469869389</v>
      </c>
      <c r="AQ33" s="89" t="b">
        <v>0</v>
      </c>
      <c r="AR33" s="89" t="b">
        <v>0</v>
      </c>
      <c r="AS33" s="89" t="b">
        <v>1</v>
      </c>
      <c r="AT33" s="89"/>
      <c r="AU33" s="89">
        <v>117</v>
      </c>
      <c r="AV33" s="95" t="str">
        <f>HYPERLINK("https://abs.twimg.com/images/themes/theme14/bg.gif")</f>
        <v>https://abs.twimg.com/images/themes/theme14/bg.gif</v>
      </c>
      <c r="AW33" s="89" t="b">
        <v>0</v>
      </c>
      <c r="AX33" s="89" t="s">
        <v>2300</v>
      </c>
      <c r="AY33" s="95" t="str">
        <f>HYPERLINK("https://twitter.com/mikaihamuotila")</f>
        <v>https://twitter.com/mikaihamuotila</v>
      </c>
      <c r="AZ33" s="89" t="s">
        <v>65</v>
      </c>
      <c r="BA33" s="89"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389</v>
      </c>
      <c r="B34" s="66"/>
      <c r="C34" s="66" t="s">
        <v>64</v>
      </c>
      <c r="D34" s="67">
        <v>392.9842791621962</v>
      </c>
      <c r="E34" s="69"/>
      <c r="F34" s="111" t="str">
        <f>HYPERLINK("https://pbs.twimg.com/profile_images/1173667706484211712/K5-GFTWq_normal.jpg")</f>
        <v>https://pbs.twimg.com/profile_images/1173667706484211712/K5-GFTWq_normal.jpg</v>
      </c>
      <c r="G34" s="66"/>
      <c r="H34" s="70" t="s">
        <v>389</v>
      </c>
      <c r="I34" s="71" t="s">
        <v>5827</v>
      </c>
      <c r="J34" s="71" t="s">
        <v>75</v>
      </c>
      <c r="K34" s="70" t="s">
        <v>2331</v>
      </c>
      <c r="L34" s="74">
        <v>953.1904761904761</v>
      </c>
      <c r="M34" s="75">
        <v>6062.08154296875</v>
      </c>
      <c r="N34" s="75">
        <v>3002.156982421875</v>
      </c>
      <c r="O34" s="76"/>
      <c r="P34" s="77"/>
      <c r="Q34" s="77"/>
      <c r="R34" s="104"/>
      <c r="S34" s="49">
        <v>2</v>
      </c>
      <c r="T34" s="49">
        <v>0</v>
      </c>
      <c r="U34" s="50">
        <v>1</v>
      </c>
      <c r="V34" s="50">
        <v>0.000582</v>
      </c>
      <c r="W34" s="50">
        <v>1.1E-05</v>
      </c>
      <c r="X34" s="50">
        <v>0.722259</v>
      </c>
      <c r="Y34" s="50">
        <v>0</v>
      </c>
      <c r="Z34" s="50">
        <v>0</v>
      </c>
      <c r="AA34" s="72">
        <v>34</v>
      </c>
      <c r="AB34" s="72"/>
      <c r="AC34" s="73"/>
      <c r="AD34" s="89" t="s">
        <v>1507</v>
      </c>
      <c r="AE34" s="102" t="s">
        <v>1795</v>
      </c>
      <c r="AF34" s="89">
        <v>144</v>
      </c>
      <c r="AG34" s="89">
        <v>782</v>
      </c>
      <c r="AH34" s="89">
        <v>14292</v>
      </c>
      <c r="AI34" s="89">
        <v>2951</v>
      </c>
      <c r="AJ34" s="89"/>
      <c r="AK34" s="89" t="s">
        <v>1995</v>
      </c>
      <c r="AL34" s="89"/>
      <c r="AM34" s="89"/>
      <c r="AN34" s="89"/>
      <c r="AO34" s="92">
        <v>41675.47466435185</v>
      </c>
      <c r="AP34" s="95" t="str">
        <f>HYPERLINK("https://pbs.twimg.com/profile_banners/2328637999/1538678875")</f>
        <v>https://pbs.twimg.com/profile_banners/2328637999/1538678875</v>
      </c>
      <c r="AQ34" s="89" t="b">
        <v>0</v>
      </c>
      <c r="AR34" s="89" t="b">
        <v>0</v>
      </c>
      <c r="AS34" s="89" t="b">
        <v>0</v>
      </c>
      <c r="AT34" s="89"/>
      <c r="AU34" s="89">
        <v>39</v>
      </c>
      <c r="AV34" s="95" t="str">
        <f>HYPERLINK("https://abs.twimg.com/images/themes/theme5/bg.gif")</f>
        <v>https://abs.twimg.com/images/themes/theme5/bg.gif</v>
      </c>
      <c r="AW34" s="89" t="b">
        <v>0</v>
      </c>
      <c r="AX34" s="89" t="s">
        <v>2300</v>
      </c>
      <c r="AY34" s="95" t="str">
        <f>HYPERLINK("https://twitter.com/esahakarauta")</f>
        <v>https://twitter.com/esahakarauta</v>
      </c>
      <c r="AZ34" s="89" t="s">
        <v>65</v>
      </c>
      <c r="BA34" s="8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390</v>
      </c>
      <c r="B35" s="66"/>
      <c r="C35" s="66" t="s">
        <v>64</v>
      </c>
      <c r="D35" s="67">
        <v>775.9685583243923</v>
      </c>
      <c r="E35" s="69"/>
      <c r="F35" s="111" t="str">
        <f>HYPERLINK("https://pbs.twimg.com/profile_images/433533702304325632/ZvEZszQk_normal.jpeg")</f>
        <v>https://pbs.twimg.com/profile_images/433533702304325632/ZvEZszQk_normal.jpeg</v>
      </c>
      <c r="G35" s="66"/>
      <c r="H35" s="70" t="s">
        <v>390</v>
      </c>
      <c r="I35" s="71" t="s">
        <v>5827</v>
      </c>
      <c r="J35" s="71" t="s">
        <v>75</v>
      </c>
      <c r="K35" s="70" t="s">
        <v>2332</v>
      </c>
      <c r="L35" s="74">
        <v>1905.3809523809523</v>
      </c>
      <c r="M35" s="75">
        <v>5969.029296875</v>
      </c>
      <c r="N35" s="75">
        <v>1597.71630859375</v>
      </c>
      <c r="O35" s="76"/>
      <c r="P35" s="77"/>
      <c r="Q35" s="77"/>
      <c r="R35" s="104"/>
      <c r="S35" s="49">
        <v>4</v>
      </c>
      <c r="T35" s="49">
        <v>0</v>
      </c>
      <c r="U35" s="50">
        <v>1456.113618</v>
      </c>
      <c r="V35" s="50">
        <v>0.000684</v>
      </c>
      <c r="W35" s="50">
        <v>0.000319</v>
      </c>
      <c r="X35" s="50">
        <v>1.399174</v>
      </c>
      <c r="Y35" s="50">
        <v>0</v>
      </c>
      <c r="Z35" s="50">
        <v>0</v>
      </c>
      <c r="AA35" s="72">
        <v>35</v>
      </c>
      <c r="AB35" s="72"/>
      <c r="AC35" s="73"/>
      <c r="AD35" s="89" t="s">
        <v>1508</v>
      </c>
      <c r="AE35" s="102" t="s">
        <v>1343</v>
      </c>
      <c r="AF35" s="89">
        <v>8885</v>
      </c>
      <c r="AG35" s="89">
        <v>194500</v>
      </c>
      <c r="AH35" s="89">
        <v>66920</v>
      </c>
      <c r="AI35" s="89">
        <v>145737</v>
      </c>
      <c r="AJ35" s="89"/>
      <c r="AK35" s="89" t="s">
        <v>1996</v>
      </c>
      <c r="AL35" s="89"/>
      <c r="AM35" s="89"/>
      <c r="AN35" s="89"/>
      <c r="AO35" s="92">
        <v>41276.6109375</v>
      </c>
      <c r="AP35" s="95" t="str">
        <f>HYPERLINK("https://pbs.twimg.com/profile_banners/1055255910/1392198120")</f>
        <v>https://pbs.twimg.com/profile_banners/1055255910/1392198120</v>
      </c>
      <c r="AQ35" s="89" t="b">
        <v>1</v>
      </c>
      <c r="AR35" s="89" t="b">
        <v>0</v>
      </c>
      <c r="AS35" s="89" t="b">
        <v>0</v>
      </c>
      <c r="AT35" s="89"/>
      <c r="AU35" s="89">
        <v>255</v>
      </c>
      <c r="AV35" s="95" t="str">
        <f>HYPERLINK("https://abs.twimg.com/images/themes/theme1/bg.png")</f>
        <v>https://abs.twimg.com/images/themes/theme1/bg.png</v>
      </c>
      <c r="AW35" s="89" t="b">
        <v>0</v>
      </c>
      <c r="AX35" s="89" t="s">
        <v>2300</v>
      </c>
      <c r="AY35" s="95" t="str">
        <f>HYPERLINK("https://twitter.com/sarasvuojari")</f>
        <v>https://twitter.com/sarasvuojari</v>
      </c>
      <c r="AZ35" s="89" t="s">
        <v>65</v>
      </c>
      <c r="BA35" s="89"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239</v>
      </c>
      <c r="B36" s="66"/>
      <c r="C36" s="66" t="s">
        <v>46</v>
      </c>
      <c r="D36" s="67">
        <v>10</v>
      </c>
      <c r="E36" s="69"/>
      <c r="F36" s="111" t="str">
        <f>HYPERLINK("https://pbs.twimg.com/profile_images/1393503445861244928/ckDOZU7I_normal.jpg")</f>
        <v>https://pbs.twimg.com/profile_images/1393503445861244928/ckDOZU7I_normal.jpg</v>
      </c>
      <c r="G36" s="66"/>
      <c r="H36" s="70" t="s">
        <v>239</v>
      </c>
      <c r="I36" s="71" t="s">
        <v>5824</v>
      </c>
      <c r="J36" s="71" t="s">
        <v>73</v>
      </c>
      <c r="K36" s="70" t="s">
        <v>2333</v>
      </c>
      <c r="L36" s="74">
        <v>477.0952380952381</v>
      </c>
      <c r="M36" s="75"/>
      <c r="N36" s="75"/>
      <c r="O36" s="76"/>
      <c r="P36" s="77"/>
      <c r="Q36" s="77"/>
      <c r="R36" s="104"/>
      <c r="S36" s="49">
        <v>1</v>
      </c>
      <c r="T36" s="49">
        <v>1</v>
      </c>
      <c r="U36" s="50">
        <v>0</v>
      </c>
      <c r="V36" s="50">
        <v>0</v>
      </c>
      <c r="W36" s="50">
        <v>0</v>
      </c>
      <c r="X36" s="50">
        <v>0.999998</v>
      </c>
      <c r="Y36" s="50">
        <v>0</v>
      </c>
      <c r="Z36" s="50">
        <v>0</v>
      </c>
      <c r="AA36" s="72">
        <v>36</v>
      </c>
      <c r="AB36" s="72"/>
      <c r="AC36" s="73"/>
      <c r="AD36" s="89" t="s">
        <v>1509</v>
      </c>
      <c r="AE36" s="102" t="s">
        <v>1796</v>
      </c>
      <c r="AF36" s="89">
        <v>582</v>
      </c>
      <c r="AG36" s="89">
        <v>424</v>
      </c>
      <c r="AH36" s="89">
        <v>6763</v>
      </c>
      <c r="AI36" s="89">
        <v>25116</v>
      </c>
      <c r="AJ36" s="89"/>
      <c r="AK36" s="89" t="s">
        <v>1997</v>
      </c>
      <c r="AL36" s="89"/>
      <c r="AM36" s="89"/>
      <c r="AN36" s="89"/>
      <c r="AO36" s="92">
        <v>44185.54510416667</v>
      </c>
      <c r="AP36" s="95" t="str">
        <f>HYPERLINK("https://pbs.twimg.com/profile_banners/1340644063473786881/1636746700")</f>
        <v>https://pbs.twimg.com/profile_banners/1340644063473786881/1636746700</v>
      </c>
      <c r="AQ36" s="89" t="b">
        <v>1</v>
      </c>
      <c r="AR36" s="89" t="b">
        <v>0</v>
      </c>
      <c r="AS36" s="89" t="b">
        <v>0</v>
      </c>
      <c r="AT36" s="89"/>
      <c r="AU36" s="89">
        <v>2</v>
      </c>
      <c r="AV36" s="89"/>
      <c r="AW36" s="89" t="b">
        <v>0</v>
      </c>
      <c r="AX36" s="89" t="s">
        <v>2300</v>
      </c>
      <c r="AY36" s="95" t="str">
        <f>HYPERLINK("https://twitter.com/marymindys")</f>
        <v>https://twitter.com/marymindys</v>
      </c>
      <c r="AZ36" s="89" t="s">
        <v>66</v>
      </c>
      <c r="BA36" s="89" t="str">
        <f>REPLACE(INDEX(GroupVertices[Group],MATCH(Vertices[[#This Row],[Vertex]],GroupVertices[Vertex],0)),1,1,"")</f>
        <v>16</v>
      </c>
      <c r="BB36" s="49">
        <v>0</v>
      </c>
      <c r="BC36" s="50">
        <v>0</v>
      </c>
      <c r="BD36" s="49">
        <v>0</v>
      </c>
      <c r="BE36" s="50">
        <v>0</v>
      </c>
      <c r="BF36" s="49">
        <v>0</v>
      </c>
      <c r="BG36" s="50">
        <v>0</v>
      </c>
      <c r="BH36" s="49">
        <v>27</v>
      </c>
      <c r="BI36" s="50">
        <v>100</v>
      </c>
      <c r="BJ36" s="49">
        <v>27</v>
      </c>
      <c r="BK36" s="49" t="s">
        <v>5191</v>
      </c>
      <c r="BL36" s="49" t="s">
        <v>5191</v>
      </c>
      <c r="BM36" s="49" t="s">
        <v>691</v>
      </c>
      <c r="BN36" s="49" t="s">
        <v>691</v>
      </c>
      <c r="BO36" s="49"/>
      <c r="BP36" s="49"/>
      <c r="BQ36" s="123" t="s">
        <v>5550</v>
      </c>
      <c r="BR36" s="123" t="s">
        <v>5550</v>
      </c>
      <c r="BS36" s="123" t="s">
        <v>5702</v>
      </c>
      <c r="BT36" s="123" t="s">
        <v>5702</v>
      </c>
      <c r="BU36" s="2"/>
      <c r="BV36" s="3"/>
      <c r="BW36" s="3"/>
      <c r="BX36" s="3"/>
      <c r="BY36" s="3"/>
    </row>
    <row r="37" spans="1:77" ht="15">
      <c r="A37" s="65" t="s">
        <v>240</v>
      </c>
      <c r="B37" s="66"/>
      <c r="C37" s="66" t="s">
        <v>46</v>
      </c>
      <c r="D37" s="67"/>
      <c r="E37" s="69"/>
      <c r="F37" s="111" t="str">
        <f>HYPERLINK("https://pbs.twimg.com/profile_images/496235414609346560/JR7y-ZUd_normal.jpeg")</f>
        <v>https://pbs.twimg.com/profile_images/496235414609346560/JR7y-ZUd_normal.jpeg</v>
      </c>
      <c r="G37" s="66"/>
      <c r="H37" s="70" t="s">
        <v>240</v>
      </c>
      <c r="I37" s="71" t="s">
        <v>5827</v>
      </c>
      <c r="J37" s="71" t="s">
        <v>73</v>
      </c>
      <c r="K37" s="70" t="s">
        <v>2334</v>
      </c>
      <c r="L37" s="74">
        <v>1</v>
      </c>
      <c r="M37" s="75">
        <v>6014.74658203125</v>
      </c>
      <c r="N37" s="75">
        <v>2341.3759765625</v>
      </c>
      <c r="O37" s="76"/>
      <c r="P37" s="77"/>
      <c r="Q37" s="77"/>
      <c r="R37" s="104"/>
      <c r="S37" s="49">
        <v>0</v>
      </c>
      <c r="T37" s="49">
        <v>5</v>
      </c>
      <c r="U37" s="50">
        <v>1216.009696</v>
      </c>
      <c r="V37" s="50">
        <v>0.000677</v>
      </c>
      <c r="W37" s="50">
        <v>4.8E-05</v>
      </c>
      <c r="X37" s="50">
        <v>1.703705</v>
      </c>
      <c r="Y37" s="50">
        <v>0</v>
      </c>
      <c r="Z37" s="50">
        <v>0</v>
      </c>
      <c r="AA37" s="72">
        <v>37</v>
      </c>
      <c r="AB37" s="72"/>
      <c r="AC37" s="73"/>
      <c r="AD37" s="89" t="s">
        <v>1510</v>
      </c>
      <c r="AE37" s="102" t="s">
        <v>1797</v>
      </c>
      <c r="AF37" s="89">
        <v>45</v>
      </c>
      <c r="AG37" s="89">
        <v>24</v>
      </c>
      <c r="AH37" s="89">
        <v>1847</v>
      </c>
      <c r="AI37" s="89">
        <v>619</v>
      </c>
      <c r="AJ37" s="89"/>
      <c r="AK37" s="89"/>
      <c r="AL37" s="89"/>
      <c r="AM37" s="89"/>
      <c r="AN37" s="89"/>
      <c r="AO37" s="92">
        <v>41152.39733796296</v>
      </c>
      <c r="AP37" s="95" t="str">
        <f>HYPERLINK("https://pbs.twimg.com/profile_banners/793486988/1407146761")</f>
        <v>https://pbs.twimg.com/profile_banners/793486988/1407146761</v>
      </c>
      <c r="AQ37" s="89" t="b">
        <v>1</v>
      </c>
      <c r="AR37" s="89" t="b">
        <v>0</v>
      </c>
      <c r="AS37" s="89" t="b">
        <v>0</v>
      </c>
      <c r="AT37" s="89"/>
      <c r="AU37" s="89">
        <v>1</v>
      </c>
      <c r="AV37" s="95" t="str">
        <f>HYPERLINK("https://abs.twimg.com/images/themes/theme1/bg.png")</f>
        <v>https://abs.twimg.com/images/themes/theme1/bg.png</v>
      </c>
      <c r="AW37" s="89" t="b">
        <v>0</v>
      </c>
      <c r="AX37" s="89" t="s">
        <v>2300</v>
      </c>
      <c r="AY37" s="95" t="str">
        <f>HYPERLINK("https://twitter.com/terokans")</f>
        <v>https://twitter.com/terokans</v>
      </c>
      <c r="AZ37" s="89" t="s">
        <v>66</v>
      </c>
      <c r="BA37" s="89" t="str">
        <f>REPLACE(INDEX(GroupVertices[Group],MATCH(Vertices[[#This Row],[Vertex]],GroupVertices[Vertex],0)),1,1,"")</f>
        <v>7</v>
      </c>
      <c r="BB37" s="49">
        <v>0</v>
      </c>
      <c r="BC37" s="50">
        <v>0</v>
      </c>
      <c r="BD37" s="49">
        <v>0</v>
      </c>
      <c r="BE37" s="50">
        <v>0</v>
      </c>
      <c r="BF37" s="49">
        <v>0</v>
      </c>
      <c r="BG37" s="50">
        <v>0</v>
      </c>
      <c r="BH37" s="49">
        <v>19</v>
      </c>
      <c r="BI37" s="50">
        <v>100</v>
      </c>
      <c r="BJ37" s="49">
        <v>19</v>
      </c>
      <c r="BK37" s="49"/>
      <c r="BL37" s="49"/>
      <c r="BM37" s="49"/>
      <c r="BN37" s="49"/>
      <c r="BO37" s="49"/>
      <c r="BP37" s="49"/>
      <c r="BQ37" s="123" t="s">
        <v>5551</v>
      </c>
      <c r="BR37" s="123" t="s">
        <v>5551</v>
      </c>
      <c r="BS37" s="123" t="s">
        <v>5703</v>
      </c>
      <c r="BT37" s="123" t="s">
        <v>5703</v>
      </c>
      <c r="BU37" s="2"/>
      <c r="BV37" s="3"/>
      <c r="BW37" s="3"/>
      <c r="BX37" s="3"/>
      <c r="BY37" s="3"/>
    </row>
    <row r="38" spans="1:77" ht="15">
      <c r="A38" s="65" t="s">
        <v>391</v>
      </c>
      <c r="B38" s="66"/>
      <c r="C38" s="66" t="s">
        <v>46</v>
      </c>
      <c r="D38" s="67">
        <v>10</v>
      </c>
      <c r="E38" s="69"/>
      <c r="F38" s="111" t="str">
        <f>HYPERLINK("https://pbs.twimg.com/profile_images/1421404418919079938/9oM-Uwv7_normal.jpg")</f>
        <v>https://pbs.twimg.com/profile_images/1421404418919079938/9oM-Uwv7_normal.jpg</v>
      </c>
      <c r="G38" s="66"/>
      <c r="H38" s="70" t="s">
        <v>391</v>
      </c>
      <c r="I38" s="71" t="s">
        <v>5827</v>
      </c>
      <c r="J38" s="71" t="s">
        <v>75</v>
      </c>
      <c r="K38" s="70" t="s">
        <v>2335</v>
      </c>
      <c r="L38" s="74">
        <v>477.0952380952381</v>
      </c>
      <c r="M38" s="75">
        <v>6369.04248046875</v>
      </c>
      <c r="N38" s="75">
        <v>2347.731201171875</v>
      </c>
      <c r="O38" s="76"/>
      <c r="P38" s="77"/>
      <c r="Q38" s="77"/>
      <c r="R38" s="104"/>
      <c r="S38" s="49">
        <v>1</v>
      </c>
      <c r="T38" s="49">
        <v>0</v>
      </c>
      <c r="U38" s="50">
        <v>0</v>
      </c>
      <c r="V38" s="50">
        <v>0.000581</v>
      </c>
      <c r="W38" s="50">
        <v>6E-06</v>
      </c>
      <c r="X38" s="50">
        <v>0.43963</v>
      </c>
      <c r="Y38" s="50">
        <v>0</v>
      </c>
      <c r="Z38" s="50">
        <v>0</v>
      </c>
      <c r="AA38" s="72">
        <v>38</v>
      </c>
      <c r="AB38" s="72"/>
      <c r="AC38" s="73"/>
      <c r="AD38" s="89" t="s">
        <v>1511</v>
      </c>
      <c r="AE38" s="102" t="s">
        <v>1344</v>
      </c>
      <c r="AF38" s="89">
        <v>491</v>
      </c>
      <c r="AG38" s="89">
        <v>187</v>
      </c>
      <c r="AH38" s="89">
        <v>1886</v>
      </c>
      <c r="AI38" s="89">
        <v>3668</v>
      </c>
      <c r="AJ38" s="89"/>
      <c r="AK38" s="89" t="s">
        <v>1998</v>
      </c>
      <c r="AL38" s="89"/>
      <c r="AM38" s="89"/>
      <c r="AN38" s="89"/>
      <c r="AO38" s="92">
        <v>44408.40015046296</v>
      </c>
      <c r="AP38" s="89"/>
      <c r="AQ38" s="89" t="b">
        <v>1</v>
      </c>
      <c r="AR38" s="89" t="b">
        <v>0</v>
      </c>
      <c r="AS38" s="89" t="b">
        <v>0</v>
      </c>
      <c r="AT38" s="89"/>
      <c r="AU38" s="89">
        <v>0</v>
      </c>
      <c r="AV38" s="89"/>
      <c r="AW38" s="89" t="b">
        <v>0</v>
      </c>
      <c r="AX38" s="89" t="s">
        <v>2300</v>
      </c>
      <c r="AY38" s="95" t="str">
        <f>HYPERLINK("https://twitter.com/darguner1")</f>
        <v>https://twitter.com/darguner1</v>
      </c>
      <c r="AZ38" s="89" t="s">
        <v>65</v>
      </c>
      <c r="BA38" s="8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241</v>
      </c>
      <c r="B39" s="66"/>
      <c r="C39" s="66" t="s">
        <v>46</v>
      </c>
      <c r="D39" s="67">
        <v>10</v>
      </c>
      <c r="E39" s="69"/>
      <c r="F39" s="111" t="str">
        <f>HYPERLINK("https://pbs.twimg.com/profile_images/1355558109188644867/IKtgiVUy_normal.jpg")</f>
        <v>https://pbs.twimg.com/profile_images/1355558109188644867/IKtgiVUy_normal.jpg</v>
      </c>
      <c r="G39" s="66"/>
      <c r="H39" s="70" t="s">
        <v>241</v>
      </c>
      <c r="I39" s="71" t="s">
        <v>5824</v>
      </c>
      <c r="J39" s="71" t="s">
        <v>73</v>
      </c>
      <c r="K39" s="70" t="s">
        <v>2336</v>
      </c>
      <c r="L39" s="74">
        <v>477.0952380952381</v>
      </c>
      <c r="M39" s="75"/>
      <c r="N39" s="75"/>
      <c r="O39" s="76"/>
      <c r="P39" s="77"/>
      <c r="Q39" s="77"/>
      <c r="R39" s="104"/>
      <c r="S39" s="49">
        <v>1</v>
      </c>
      <c r="T39" s="49">
        <v>1</v>
      </c>
      <c r="U39" s="50">
        <v>0</v>
      </c>
      <c r="V39" s="50">
        <v>0</v>
      </c>
      <c r="W39" s="50">
        <v>0</v>
      </c>
      <c r="X39" s="50">
        <v>0.999998</v>
      </c>
      <c r="Y39" s="50">
        <v>0</v>
      </c>
      <c r="Z39" s="50">
        <v>0</v>
      </c>
      <c r="AA39" s="72">
        <v>39</v>
      </c>
      <c r="AB39" s="72"/>
      <c r="AC39" s="73"/>
      <c r="AD39" s="89" t="s">
        <v>1512</v>
      </c>
      <c r="AE39" s="102" t="s">
        <v>1798</v>
      </c>
      <c r="AF39" s="89">
        <v>1654</v>
      </c>
      <c r="AG39" s="89">
        <v>2654</v>
      </c>
      <c r="AH39" s="89">
        <v>77305</v>
      </c>
      <c r="AI39" s="89">
        <v>171634</v>
      </c>
      <c r="AJ39" s="89"/>
      <c r="AK39" s="89" t="s">
        <v>1999</v>
      </c>
      <c r="AL39" s="89"/>
      <c r="AM39" s="95" t="str">
        <f>HYPERLINK("https://t.co/uEfDVe35kw")</f>
        <v>https://t.co/uEfDVe35kw</v>
      </c>
      <c r="AN39" s="89"/>
      <c r="AO39" s="92">
        <v>43353.942928240744</v>
      </c>
      <c r="AP39" s="95" t="str">
        <f>HYPERLINK("https://pbs.twimg.com/profile_banners/1039281821438173184/1555448625")</f>
        <v>https://pbs.twimg.com/profile_banners/1039281821438173184/1555448625</v>
      </c>
      <c r="AQ39" s="89" t="b">
        <v>0</v>
      </c>
      <c r="AR39" s="89" t="b">
        <v>0</v>
      </c>
      <c r="AS39" s="89" t="b">
        <v>0</v>
      </c>
      <c r="AT39" s="89"/>
      <c r="AU39" s="89">
        <v>1</v>
      </c>
      <c r="AV39" s="95" t="str">
        <f>HYPERLINK("https://abs.twimg.com/images/themes/theme1/bg.png")</f>
        <v>https://abs.twimg.com/images/themes/theme1/bg.png</v>
      </c>
      <c r="AW39" s="89" t="b">
        <v>0</v>
      </c>
      <c r="AX39" s="89" t="s">
        <v>2300</v>
      </c>
      <c r="AY39" s="95" t="str">
        <f>HYPERLINK("https://twitter.com/jarileino3")</f>
        <v>https://twitter.com/jarileino3</v>
      </c>
      <c r="AZ39" s="89" t="s">
        <v>66</v>
      </c>
      <c r="BA39" s="89" t="str">
        <f>REPLACE(INDEX(GroupVertices[Group],MATCH(Vertices[[#This Row],[Vertex]],GroupVertices[Vertex],0)),1,1,"")</f>
        <v>16</v>
      </c>
      <c r="BB39" s="49">
        <v>0</v>
      </c>
      <c r="BC39" s="50">
        <v>0</v>
      </c>
      <c r="BD39" s="49">
        <v>0</v>
      </c>
      <c r="BE39" s="50">
        <v>0</v>
      </c>
      <c r="BF39" s="49">
        <v>0</v>
      </c>
      <c r="BG39" s="50">
        <v>0</v>
      </c>
      <c r="BH39" s="49">
        <v>82</v>
      </c>
      <c r="BI39" s="50">
        <v>100</v>
      </c>
      <c r="BJ39" s="49">
        <v>82</v>
      </c>
      <c r="BK39" s="49"/>
      <c r="BL39" s="49"/>
      <c r="BM39" s="49"/>
      <c r="BN39" s="49"/>
      <c r="BO39" s="49"/>
      <c r="BP39" s="49"/>
      <c r="BQ39" s="123" t="s">
        <v>5552</v>
      </c>
      <c r="BR39" s="123" t="s">
        <v>5552</v>
      </c>
      <c r="BS39" s="123" t="s">
        <v>5704</v>
      </c>
      <c r="BT39" s="123" t="s">
        <v>5704</v>
      </c>
      <c r="BU39" s="2"/>
      <c r="BV39" s="3"/>
      <c r="BW39" s="3"/>
      <c r="BX39" s="3"/>
      <c r="BY39" s="3"/>
    </row>
    <row r="40" spans="1:77" ht="15">
      <c r="A40" s="65" t="s">
        <v>242</v>
      </c>
      <c r="B40" s="66"/>
      <c r="C40" s="66" t="s">
        <v>46</v>
      </c>
      <c r="D40" s="67"/>
      <c r="E40" s="69"/>
      <c r="F40" s="111" t="str">
        <f>HYPERLINK("https://pbs.twimg.com/profile_images/1466098936507252743/xsvPWTlF_normal.jpg")</f>
        <v>https://pbs.twimg.com/profile_images/1466098936507252743/xsvPWTlF_normal.jpg</v>
      </c>
      <c r="G40" s="66"/>
      <c r="H40" s="70" t="s">
        <v>242</v>
      </c>
      <c r="I40" s="71" t="s">
        <v>5828</v>
      </c>
      <c r="J40" s="71" t="s">
        <v>73</v>
      </c>
      <c r="K40" s="70" t="s">
        <v>2337</v>
      </c>
      <c r="L40" s="74">
        <v>1</v>
      </c>
      <c r="M40" s="75">
        <v>9397.3310546875</v>
      </c>
      <c r="N40" s="75">
        <v>5713.71435546875</v>
      </c>
      <c r="O40" s="76"/>
      <c r="P40" s="77"/>
      <c r="Q40" s="77"/>
      <c r="R40" s="104"/>
      <c r="S40" s="49">
        <v>0</v>
      </c>
      <c r="T40" s="49">
        <v>1</v>
      </c>
      <c r="U40" s="50">
        <v>0</v>
      </c>
      <c r="V40" s="50">
        <v>0.2</v>
      </c>
      <c r="W40" s="50">
        <v>0</v>
      </c>
      <c r="X40" s="50">
        <v>0.610686</v>
      </c>
      <c r="Y40" s="50">
        <v>0</v>
      </c>
      <c r="Z40" s="50">
        <v>0</v>
      </c>
      <c r="AA40" s="72">
        <v>40</v>
      </c>
      <c r="AB40" s="72"/>
      <c r="AC40" s="73"/>
      <c r="AD40" s="89" t="s">
        <v>1513</v>
      </c>
      <c r="AE40" s="102" t="s">
        <v>1799</v>
      </c>
      <c r="AF40" s="89">
        <v>336</v>
      </c>
      <c r="AG40" s="89">
        <v>36</v>
      </c>
      <c r="AH40" s="89">
        <v>1383</v>
      </c>
      <c r="AI40" s="89">
        <v>394</v>
      </c>
      <c r="AJ40" s="89"/>
      <c r="AK40" s="89"/>
      <c r="AL40" s="89" t="s">
        <v>2229</v>
      </c>
      <c r="AM40" s="89"/>
      <c r="AN40" s="89"/>
      <c r="AO40" s="92">
        <v>44033.34181712963</v>
      </c>
      <c r="AP40" s="95" t="str">
        <f>HYPERLINK("https://pbs.twimg.com/profile_banners/1285487656588247046/1595847692")</f>
        <v>https://pbs.twimg.com/profile_banners/1285487656588247046/1595847692</v>
      </c>
      <c r="AQ40" s="89" t="b">
        <v>1</v>
      </c>
      <c r="AR40" s="89" t="b">
        <v>0</v>
      </c>
      <c r="AS40" s="89" t="b">
        <v>0</v>
      </c>
      <c r="AT40" s="89"/>
      <c r="AU40" s="89">
        <v>1</v>
      </c>
      <c r="AV40" s="89"/>
      <c r="AW40" s="89" t="b">
        <v>0</v>
      </c>
      <c r="AX40" s="89" t="s">
        <v>2300</v>
      </c>
      <c r="AY40" s="95" t="str">
        <f>HYPERLINK("https://twitter.com/arlenmerlen")</f>
        <v>https://twitter.com/arlenmerlen</v>
      </c>
      <c r="AZ40" s="89" t="s">
        <v>66</v>
      </c>
      <c r="BA40" s="89" t="str">
        <f>REPLACE(INDEX(GroupVertices[Group],MATCH(Vertices[[#This Row],[Vertex]],GroupVertices[Vertex],0)),1,1,"")</f>
        <v>14</v>
      </c>
      <c r="BB40" s="49">
        <v>0</v>
      </c>
      <c r="BC40" s="50">
        <v>0</v>
      </c>
      <c r="BD40" s="49">
        <v>0</v>
      </c>
      <c r="BE40" s="50">
        <v>0</v>
      </c>
      <c r="BF40" s="49">
        <v>0</v>
      </c>
      <c r="BG40" s="50">
        <v>0</v>
      </c>
      <c r="BH40" s="49">
        <v>19</v>
      </c>
      <c r="BI40" s="50">
        <v>100</v>
      </c>
      <c r="BJ40" s="49">
        <v>19</v>
      </c>
      <c r="BK40" s="49"/>
      <c r="BL40" s="49"/>
      <c r="BM40" s="49"/>
      <c r="BN40" s="49"/>
      <c r="BO40" s="49"/>
      <c r="BP40" s="49"/>
      <c r="BQ40" s="123" t="s">
        <v>5553</v>
      </c>
      <c r="BR40" s="123" t="s">
        <v>5553</v>
      </c>
      <c r="BS40" s="123" t="s">
        <v>5705</v>
      </c>
      <c r="BT40" s="123" t="s">
        <v>5705</v>
      </c>
      <c r="BU40" s="2"/>
      <c r="BV40" s="3"/>
      <c r="BW40" s="3"/>
      <c r="BX40" s="3"/>
      <c r="BY40" s="3"/>
    </row>
    <row r="41" spans="1:77" ht="15">
      <c r="A41" s="65" t="s">
        <v>247</v>
      </c>
      <c r="B41" s="66"/>
      <c r="C41" s="66" t="s">
        <v>64</v>
      </c>
      <c r="D41" s="67">
        <v>392.9842791621962</v>
      </c>
      <c r="E41" s="69"/>
      <c r="F41" s="111" t="str">
        <f>HYPERLINK("https://pbs.twimg.com/profile_images/1002192169665474562/3FimsmuY_normal.jpg")</f>
        <v>https://pbs.twimg.com/profile_images/1002192169665474562/3FimsmuY_normal.jpg</v>
      </c>
      <c r="G41" s="66"/>
      <c r="H41" s="70" t="s">
        <v>247</v>
      </c>
      <c r="I41" s="71" t="s">
        <v>5828</v>
      </c>
      <c r="J41" s="71" t="s">
        <v>73</v>
      </c>
      <c r="K41" s="70" t="s">
        <v>2338</v>
      </c>
      <c r="L41" s="74">
        <v>953.1904761904761</v>
      </c>
      <c r="M41" s="75">
        <v>9709.80078125</v>
      </c>
      <c r="N41" s="75">
        <v>4964.37451171875</v>
      </c>
      <c r="O41" s="76"/>
      <c r="P41" s="77"/>
      <c r="Q41" s="77"/>
      <c r="R41" s="104"/>
      <c r="S41" s="49">
        <v>2</v>
      </c>
      <c r="T41" s="49">
        <v>3</v>
      </c>
      <c r="U41" s="50">
        <v>6</v>
      </c>
      <c r="V41" s="50">
        <v>0.333333</v>
      </c>
      <c r="W41" s="50">
        <v>0</v>
      </c>
      <c r="X41" s="50">
        <v>2.167935</v>
      </c>
      <c r="Y41" s="50">
        <v>0</v>
      </c>
      <c r="Z41" s="50">
        <v>0</v>
      </c>
      <c r="AA41" s="72">
        <v>41</v>
      </c>
      <c r="AB41" s="72"/>
      <c r="AC41" s="73"/>
      <c r="AD41" s="89" t="s">
        <v>1514</v>
      </c>
      <c r="AE41" s="102" t="s">
        <v>1800</v>
      </c>
      <c r="AF41" s="89">
        <v>187</v>
      </c>
      <c r="AG41" s="89">
        <v>239</v>
      </c>
      <c r="AH41" s="89">
        <v>8732</v>
      </c>
      <c r="AI41" s="89">
        <v>18430</v>
      </c>
      <c r="AJ41" s="89"/>
      <c r="AK41" s="89" t="s">
        <v>2000</v>
      </c>
      <c r="AL41" s="89"/>
      <c r="AM41" s="89"/>
      <c r="AN41" s="89"/>
      <c r="AO41" s="92">
        <v>43251.579513888886</v>
      </c>
      <c r="AP41" s="95" t="str">
        <f>HYPERLINK("https://pbs.twimg.com/profile_banners/1002186560639590403/1527776277")</f>
        <v>https://pbs.twimg.com/profile_banners/1002186560639590403/1527776277</v>
      </c>
      <c r="AQ41" s="89" t="b">
        <v>1</v>
      </c>
      <c r="AR41" s="89" t="b">
        <v>0</v>
      </c>
      <c r="AS41" s="89" t="b">
        <v>0</v>
      </c>
      <c r="AT41" s="89"/>
      <c r="AU41" s="89">
        <v>2</v>
      </c>
      <c r="AV41" s="89"/>
      <c r="AW41" s="89" t="b">
        <v>0</v>
      </c>
      <c r="AX41" s="89" t="s">
        <v>2300</v>
      </c>
      <c r="AY41" s="95" t="str">
        <f>HYPERLINK("https://twitter.com/hirvonenjo")</f>
        <v>https://twitter.com/hirvonenjo</v>
      </c>
      <c r="AZ41" s="89" t="s">
        <v>66</v>
      </c>
      <c r="BA41" s="89" t="str">
        <f>REPLACE(INDEX(GroupVertices[Group],MATCH(Vertices[[#This Row],[Vertex]],GroupVertices[Vertex],0)),1,1,"")</f>
        <v>14</v>
      </c>
      <c r="BB41" s="49">
        <v>0</v>
      </c>
      <c r="BC41" s="50">
        <v>0</v>
      </c>
      <c r="BD41" s="49">
        <v>0</v>
      </c>
      <c r="BE41" s="50">
        <v>0</v>
      </c>
      <c r="BF41" s="49">
        <v>0</v>
      </c>
      <c r="BG41" s="50">
        <v>0</v>
      </c>
      <c r="BH41" s="49">
        <v>38</v>
      </c>
      <c r="BI41" s="50">
        <v>100</v>
      </c>
      <c r="BJ41" s="49">
        <v>38</v>
      </c>
      <c r="BK41" s="49"/>
      <c r="BL41" s="49"/>
      <c r="BM41" s="49"/>
      <c r="BN41" s="49"/>
      <c r="BO41" s="49"/>
      <c r="BP41" s="49"/>
      <c r="BQ41" s="123" t="s">
        <v>5554</v>
      </c>
      <c r="BR41" s="123" t="s">
        <v>5654</v>
      </c>
      <c r="BS41" s="123" t="s">
        <v>5706</v>
      </c>
      <c r="BT41" s="123" t="s">
        <v>5706</v>
      </c>
      <c r="BU41" s="2"/>
      <c r="BV41" s="3"/>
      <c r="BW41" s="3"/>
      <c r="BX41" s="3"/>
      <c r="BY41" s="3"/>
    </row>
    <row r="42" spans="1:77" ht="15">
      <c r="A42" s="65" t="s">
        <v>243</v>
      </c>
      <c r="B42" s="66"/>
      <c r="C42" s="66" t="s">
        <v>46</v>
      </c>
      <c r="D42" s="67"/>
      <c r="E42" s="69"/>
      <c r="F42" s="111" t="str">
        <f>HYPERLINK("https://pbs.twimg.com/profile_images/1418500076201287682/0dqXJtem_normal.jpg")</f>
        <v>https://pbs.twimg.com/profile_images/1418500076201287682/0dqXJtem_normal.jpg</v>
      </c>
      <c r="G42" s="66"/>
      <c r="H42" s="70" t="s">
        <v>243</v>
      </c>
      <c r="I42" s="71" t="s">
        <v>5818</v>
      </c>
      <c r="J42" s="71" t="s">
        <v>73</v>
      </c>
      <c r="K42" s="70" t="s">
        <v>2339</v>
      </c>
      <c r="L42" s="74">
        <v>1</v>
      </c>
      <c r="M42" s="75">
        <v>1042.141357421875</v>
      </c>
      <c r="N42" s="75">
        <v>6602.14453125</v>
      </c>
      <c r="O42" s="76"/>
      <c r="P42" s="77"/>
      <c r="Q42" s="77"/>
      <c r="R42" s="104"/>
      <c r="S42" s="49">
        <v>0</v>
      </c>
      <c r="T42" s="49">
        <v>1</v>
      </c>
      <c r="U42" s="50">
        <v>0</v>
      </c>
      <c r="V42" s="50">
        <v>0.000926</v>
      </c>
      <c r="W42" s="50">
        <v>0.003628</v>
      </c>
      <c r="X42" s="50">
        <v>0.395207</v>
      </c>
      <c r="Y42" s="50">
        <v>0</v>
      </c>
      <c r="Z42" s="50">
        <v>0</v>
      </c>
      <c r="AA42" s="72">
        <v>42</v>
      </c>
      <c r="AB42" s="72"/>
      <c r="AC42" s="73"/>
      <c r="AD42" s="89" t="s">
        <v>1515</v>
      </c>
      <c r="AE42" s="102" t="s">
        <v>1801</v>
      </c>
      <c r="AF42" s="89">
        <v>215</v>
      </c>
      <c r="AG42" s="89">
        <v>293</v>
      </c>
      <c r="AH42" s="89">
        <v>32570</v>
      </c>
      <c r="AI42" s="89">
        <v>37916</v>
      </c>
      <c r="AJ42" s="89"/>
      <c r="AK42" s="89" t="s">
        <v>2001</v>
      </c>
      <c r="AL42" s="89" t="s">
        <v>2230</v>
      </c>
      <c r="AM42" s="89"/>
      <c r="AN42" s="89"/>
      <c r="AO42" s="92">
        <v>40678.63334490741</v>
      </c>
      <c r="AP42" s="95" t="str">
        <f>HYPERLINK("https://pbs.twimg.com/profile_banners/299127090/1627031749")</f>
        <v>https://pbs.twimg.com/profile_banners/299127090/1627031749</v>
      </c>
      <c r="AQ42" s="89" t="b">
        <v>1</v>
      </c>
      <c r="AR42" s="89" t="b">
        <v>0</v>
      </c>
      <c r="AS42" s="89" t="b">
        <v>0</v>
      </c>
      <c r="AT42" s="89"/>
      <c r="AU42" s="89">
        <v>1</v>
      </c>
      <c r="AV42" s="95" t="str">
        <f>HYPERLINK("https://abs.twimg.com/images/themes/theme1/bg.png")</f>
        <v>https://abs.twimg.com/images/themes/theme1/bg.png</v>
      </c>
      <c r="AW42" s="89" t="b">
        <v>0</v>
      </c>
      <c r="AX42" s="89" t="s">
        <v>2300</v>
      </c>
      <c r="AY42" s="95" t="str">
        <f>HYPERLINK("https://twitter.com/areyounoob")</f>
        <v>https://twitter.com/areyounoob</v>
      </c>
      <c r="AZ42" s="89" t="s">
        <v>66</v>
      </c>
      <c r="BA42" s="89" t="str">
        <f>REPLACE(INDEX(GroupVertices[Group],MATCH(Vertices[[#This Row],[Vertex]],GroupVertices[Vertex],0)),1,1,"")</f>
        <v>1</v>
      </c>
      <c r="BB42" s="49">
        <v>0</v>
      </c>
      <c r="BC42" s="50">
        <v>0</v>
      </c>
      <c r="BD42" s="49">
        <v>0</v>
      </c>
      <c r="BE42" s="50">
        <v>0</v>
      </c>
      <c r="BF42" s="49">
        <v>0</v>
      </c>
      <c r="BG42" s="50">
        <v>0</v>
      </c>
      <c r="BH42" s="49">
        <v>28</v>
      </c>
      <c r="BI42" s="50">
        <v>100</v>
      </c>
      <c r="BJ42" s="49">
        <v>28</v>
      </c>
      <c r="BK42" s="49" t="s">
        <v>5192</v>
      </c>
      <c r="BL42" s="49" t="s">
        <v>5192</v>
      </c>
      <c r="BM42" s="49" t="s">
        <v>692</v>
      </c>
      <c r="BN42" s="49" t="s">
        <v>692</v>
      </c>
      <c r="BO42" s="49"/>
      <c r="BP42" s="49"/>
      <c r="BQ42" s="123" t="s">
        <v>5555</v>
      </c>
      <c r="BR42" s="123" t="s">
        <v>5555</v>
      </c>
      <c r="BS42" s="123" t="s">
        <v>5707</v>
      </c>
      <c r="BT42" s="123" t="s">
        <v>5707</v>
      </c>
      <c r="BU42" s="2"/>
      <c r="BV42" s="3"/>
      <c r="BW42" s="3"/>
      <c r="BX42" s="3"/>
      <c r="BY42" s="3"/>
    </row>
    <row r="43" spans="1:77" ht="15">
      <c r="A43" s="65" t="s">
        <v>374</v>
      </c>
      <c r="B43" s="66"/>
      <c r="C43" s="66" t="s">
        <v>64</v>
      </c>
      <c r="D43" s="67">
        <v>1000</v>
      </c>
      <c r="E43" s="69"/>
      <c r="F43" s="111" t="str">
        <f>HYPERLINK("https://pbs.twimg.com/profile_images/1348020814772371456/rYnwJnyO_normal.jpg")</f>
        <v>https://pbs.twimg.com/profile_images/1348020814772371456/rYnwJnyO_normal.jpg</v>
      </c>
      <c r="G43" s="66"/>
      <c r="H43" s="70" t="s">
        <v>374</v>
      </c>
      <c r="I43" s="71" t="s">
        <v>5818</v>
      </c>
      <c r="J43" s="71" t="s">
        <v>73</v>
      </c>
      <c r="K43" s="70" t="s">
        <v>2340</v>
      </c>
      <c r="L43" s="74">
        <v>9046.809523809523</v>
      </c>
      <c r="M43" s="75">
        <v>1323.3795166015625</v>
      </c>
      <c r="N43" s="75">
        <v>5960.865234375</v>
      </c>
      <c r="O43" s="76"/>
      <c r="P43" s="77"/>
      <c r="Q43" s="77"/>
      <c r="R43" s="104"/>
      <c r="S43" s="49">
        <v>19</v>
      </c>
      <c r="T43" s="49">
        <v>7</v>
      </c>
      <c r="U43" s="50">
        <v>16393.142381</v>
      </c>
      <c r="V43" s="50">
        <v>0.001196</v>
      </c>
      <c r="W43" s="50">
        <v>0.03109</v>
      </c>
      <c r="X43" s="50">
        <v>7.211964</v>
      </c>
      <c r="Y43" s="50">
        <v>0.0036231884057971015</v>
      </c>
      <c r="Z43" s="50">
        <v>0</v>
      </c>
      <c r="AA43" s="72">
        <v>43</v>
      </c>
      <c r="AB43" s="72"/>
      <c r="AC43" s="73"/>
      <c r="AD43" s="89" t="s">
        <v>1516</v>
      </c>
      <c r="AE43" s="102" t="s">
        <v>1438</v>
      </c>
      <c r="AF43" s="89">
        <v>2063</v>
      </c>
      <c r="AG43" s="89">
        <v>1781</v>
      </c>
      <c r="AH43" s="89">
        <v>7583</v>
      </c>
      <c r="AI43" s="89">
        <v>31433</v>
      </c>
      <c r="AJ43" s="89"/>
      <c r="AK43" s="89" t="s">
        <v>2002</v>
      </c>
      <c r="AL43" s="89"/>
      <c r="AM43" s="89"/>
      <c r="AN43" s="89"/>
      <c r="AO43" s="92">
        <v>44048.940300925926</v>
      </c>
      <c r="AP43" s="89"/>
      <c r="AQ43" s="89" t="b">
        <v>1</v>
      </c>
      <c r="AR43" s="89" t="b">
        <v>0</v>
      </c>
      <c r="AS43" s="89" t="b">
        <v>0</v>
      </c>
      <c r="AT43" s="89"/>
      <c r="AU43" s="89">
        <v>1</v>
      </c>
      <c r="AV43" s="89"/>
      <c r="AW43" s="89" t="b">
        <v>0</v>
      </c>
      <c r="AX43" s="89" t="s">
        <v>2300</v>
      </c>
      <c r="AY43" s="95" t="str">
        <f>HYPERLINK("https://twitter.com/okuokka")</f>
        <v>https://twitter.com/okuokka</v>
      </c>
      <c r="AZ43" s="89" t="s">
        <v>66</v>
      </c>
      <c r="BA43" s="89" t="str">
        <f>REPLACE(INDEX(GroupVertices[Group],MATCH(Vertices[[#This Row],[Vertex]],GroupVertices[Vertex],0)),1,1,"")</f>
        <v>1</v>
      </c>
      <c r="BB43" s="49">
        <v>0</v>
      </c>
      <c r="BC43" s="50">
        <v>0</v>
      </c>
      <c r="BD43" s="49">
        <v>0</v>
      </c>
      <c r="BE43" s="50">
        <v>0</v>
      </c>
      <c r="BF43" s="49">
        <v>0</v>
      </c>
      <c r="BG43" s="50">
        <v>0</v>
      </c>
      <c r="BH43" s="49">
        <v>126</v>
      </c>
      <c r="BI43" s="50">
        <v>100</v>
      </c>
      <c r="BJ43" s="49">
        <v>126</v>
      </c>
      <c r="BK43" s="49" t="s">
        <v>5509</v>
      </c>
      <c r="BL43" s="49" t="s">
        <v>5509</v>
      </c>
      <c r="BM43" s="49" t="s">
        <v>5521</v>
      </c>
      <c r="BN43" s="49" t="s">
        <v>5530</v>
      </c>
      <c r="BO43" s="49"/>
      <c r="BP43" s="49"/>
      <c r="BQ43" s="123" t="s">
        <v>5556</v>
      </c>
      <c r="BR43" s="123" t="s">
        <v>5655</v>
      </c>
      <c r="BS43" s="123" t="s">
        <v>5708</v>
      </c>
      <c r="BT43" s="123" t="s">
        <v>5708</v>
      </c>
      <c r="BU43" s="2"/>
      <c r="BV43" s="3"/>
      <c r="BW43" s="3"/>
      <c r="BX43" s="3"/>
      <c r="BY43" s="3"/>
    </row>
    <row r="44" spans="1:77" ht="15">
      <c r="A44" s="65" t="s">
        <v>244</v>
      </c>
      <c r="B44" s="66"/>
      <c r="C44" s="66" t="s">
        <v>46</v>
      </c>
      <c r="D44" s="67"/>
      <c r="E44" s="69"/>
      <c r="F44" s="111" t="str">
        <f>HYPERLINK("https://pbs.twimg.com/profile_images/1429016732824387584/cuT-jUIj_normal.jpg")</f>
        <v>https://pbs.twimg.com/profile_images/1429016732824387584/cuT-jUIj_normal.jpg</v>
      </c>
      <c r="G44" s="66"/>
      <c r="H44" s="70" t="s">
        <v>244</v>
      </c>
      <c r="I44" s="71" t="s">
        <v>5819</v>
      </c>
      <c r="J44" s="71" t="s">
        <v>73</v>
      </c>
      <c r="K44" s="70" t="s">
        <v>2341</v>
      </c>
      <c r="L44" s="74">
        <v>1</v>
      </c>
      <c r="M44" s="75">
        <v>9041.6494140625</v>
      </c>
      <c r="N44" s="75">
        <v>2827.586181640625</v>
      </c>
      <c r="O44" s="76"/>
      <c r="P44" s="77"/>
      <c r="Q44" s="77"/>
      <c r="R44" s="104"/>
      <c r="S44" s="49">
        <v>0</v>
      </c>
      <c r="T44" s="49">
        <v>1</v>
      </c>
      <c r="U44" s="50">
        <v>0</v>
      </c>
      <c r="V44" s="50">
        <v>1</v>
      </c>
      <c r="W44" s="50">
        <v>0</v>
      </c>
      <c r="X44" s="50">
        <v>0.999998</v>
      </c>
      <c r="Y44" s="50">
        <v>0</v>
      </c>
      <c r="Z44" s="50">
        <v>0</v>
      </c>
      <c r="AA44" s="72">
        <v>44</v>
      </c>
      <c r="AB44" s="72"/>
      <c r="AC44" s="73"/>
      <c r="AD44" s="89" t="s">
        <v>1517</v>
      </c>
      <c r="AE44" s="102" t="s">
        <v>1802</v>
      </c>
      <c r="AF44" s="89">
        <v>248</v>
      </c>
      <c r="AG44" s="89">
        <v>128</v>
      </c>
      <c r="AH44" s="89">
        <v>2205</v>
      </c>
      <c r="AI44" s="89">
        <v>5248</v>
      </c>
      <c r="AJ44" s="89"/>
      <c r="AK44" s="89" t="s">
        <v>2002</v>
      </c>
      <c r="AL44" s="89"/>
      <c r="AM44" s="89"/>
      <c r="AN44" s="89"/>
      <c r="AO44" s="92">
        <v>44415.689884259256</v>
      </c>
      <c r="AP44" s="95" t="str">
        <f>HYPERLINK("https://pbs.twimg.com/profile_banners/1424045502891536388/1628591094")</f>
        <v>https://pbs.twimg.com/profile_banners/1424045502891536388/1628591094</v>
      </c>
      <c r="AQ44" s="89" t="b">
        <v>1</v>
      </c>
      <c r="AR44" s="89" t="b">
        <v>0</v>
      </c>
      <c r="AS44" s="89" t="b">
        <v>0</v>
      </c>
      <c r="AT44" s="89"/>
      <c r="AU44" s="89">
        <v>0</v>
      </c>
      <c r="AV44" s="89"/>
      <c r="AW44" s="89" t="b">
        <v>0</v>
      </c>
      <c r="AX44" s="89" t="s">
        <v>2300</v>
      </c>
      <c r="AY44" s="95" t="str">
        <f>HYPERLINK("https://twitter.com/kat918345")</f>
        <v>https://twitter.com/kat918345</v>
      </c>
      <c r="AZ44" s="89" t="s">
        <v>66</v>
      </c>
      <c r="BA44" s="89" t="str">
        <f>REPLACE(INDEX(GroupVertices[Group],MATCH(Vertices[[#This Row],[Vertex]],GroupVertices[Vertex],0)),1,1,"")</f>
        <v>27</v>
      </c>
      <c r="BB44" s="49">
        <v>0</v>
      </c>
      <c r="BC44" s="50">
        <v>0</v>
      </c>
      <c r="BD44" s="49">
        <v>0</v>
      </c>
      <c r="BE44" s="50">
        <v>0</v>
      </c>
      <c r="BF44" s="49">
        <v>0</v>
      </c>
      <c r="BG44" s="50">
        <v>0</v>
      </c>
      <c r="BH44" s="49">
        <v>43</v>
      </c>
      <c r="BI44" s="50">
        <v>100</v>
      </c>
      <c r="BJ44" s="49">
        <v>43</v>
      </c>
      <c r="BK44" s="49"/>
      <c r="BL44" s="49"/>
      <c r="BM44" s="49"/>
      <c r="BN44" s="49"/>
      <c r="BO44" s="49"/>
      <c r="BP44" s="49"/>
      <c r="BQ44" s="123" t="s">
        <v>5557</v>
      </c>
      <c r="BR44" s="123" t="s">
        <v>5557</v>
      </c>
      <c r="BS44" s="123" t="s">
        <v>5709</v>
      </c>
      <c r="BT44" s="123" t="s">
        <v>5709</v>
      </c>
      <c r="BU44" s="2"/>
      <c r="BV44" s="3"/>
      <c r="BW44" s="3"/>
      <c r="BX44" s="3"/>
      <c r="BY44" s="3"/>
    </row>
    <row r="45" spans="1:77" ht="15">
      <c r="A45" s="65" t="s">
        <v>392</v>
      </c>
      <c r="B45" s="66"/>
      <c r="C45" s="66" t="s">
        <v>46</v>
      </c>
      <c r="D45" s="67">
        <v>10</v>
      </c>
      <c r="E45" s="69"/>
      <c r="F45" s="111" t="str">
        <f>HYPERLINK("https://pbs.twimg.com/profile_images/1187411343764262912/JiXC-xB5_normal.jpg")</f>
        <v>https://pbs.twimg.com/profile_images/1187411343764262912/JiXC-xB5_normal.jpg</v>
      </c>
      <c r="G45" s="66"/>
      <c r="H45" s="70" t="s">
        <v>392</v>
      </c>
      <c r="I45" s="71" t="s">
        <v>5819</v>
      </c>
      <c r="J45" s="71" t="s">
        <v>75</v>
      </c>
      <c r="K45" s="70" t="s">
        <v>2342</v>
      </c>
      <c r="L45" s="74">
        <v>477.0952380952381</v>
      </c>
      <c r="M45" s="75">
        <v>9041.6494140625</v>
      </c>
      <c r="N45" s="75">
        <v>2394.3740234375</v>
      </c>
      <c r="O45" s="76"/>
      <c r="P45" s="77"/>
      <c r="Q45" s="77"/>
      <c r="R45" s="104"/>
      <c r="S45" s="49">
        <v>1</v>
      </c>
      <c r="T45" s="49">
        <v>0</v>
      </c>
      <c r="U45" s="50">
        <v>0</v>
      </c>
      <c r="V45" s="50">
        <v>1</v>
      </c>
      <c r="W45" s="50">
        <v>0</v>
      </c>
      <c r="X45" s="50">
        <v>0.999998</v>
      </c>
      <c r="Y45" s="50">
        <v>0</v>
      </c>
      <c r="Z45" s="50">
        <v>0</v>
      </c>
      <c r="AA45" s="72">
        <v>45</v>
      </c>
      <c r="AB45" s="72"/>
      <c r="AC45" s="73"/>
      <c r="AD45" s="89" t="s">
        <v>1518</v>
      </c>
      <c r="AE45" s="102" t="s">
        <v>1346</v>
      </c>
      <c r="AF45" s="89">
        <v>4083</v>
      </c>
      <c r="AG45" s="89">
        <v>3704</v>
      </c>
      <c r="AH45" s="89">
        <v>57806</v>
      </c>
      <c r="AI45" s="89">
        <v>339227</v>
      </c>
      <c r="AJ45" s="89"/>
      <c r="AK45" s="89" t="s">
        <v>2003</v>
      </c>
      <c r="AL45" s="89"/>
      <c r="AM45" s="89"/>
      <c r="AN45" s="89"/>
      <c r="AO45" s="92">
        <v>43762.701006944444</v>
      </c>
      <c r="AP45" s="89"/>
      <c r="AQ45" s="89" t="b">
        <v>1</v>
      </c>
      <c r="AR45" s="89" t="b">
        <v>0</v>
      </c>
      <c r="AS45" s="89" t="b">
        <v>1</v>
      </c>
      <c r="AT45" s="89"/>
      <c r="AU45" s="89">
        <v>7</v>
      </c>
      <c r="AV45" s="89"/>
      <c r="AW45" s="89" t="b">
        <v>0</v>
      </c>
      <c r="AX45" s="89" t="s">
        <v>2300</v>
      </c>
      <c r="AY45" s="95" t="str">
        <f>HYPERLINK("https://twitter.com/sariheinonen5")</f>
        <v>https://twitter.com/sariheinonen5</v>
      </c>
      <c r="AZ45" s="89" t="s">
        <v>65</v>
      </c>
      <c r="BA45" s="89" t="str">
        <f>REPLACE(INDEX(GroupVertices[Group],MATCH(Vertices[[#This Row],[Vertex]],GroupVertices[Vertex],0)),1,1,"")</f>
        <v>27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245</v>
      </c>
      <c r="B46" s="66"/>
      <c r="C46" s="66" t="s">
        <v>46</v>
      </c>
      <c r="D46" s="67">
        <v>10</v>
      </c>
      <c r="E46" s="69"/>
      <c r="F46" s="111" t="str">
        <f>HYPERLINK("https://pbs.twimg.com/profile_images/1211186146711134209/FVY6G-8__normal.jpg")</f>
        <v>https://pbs.twimg.com/profile_images/1211186146711134209/FVY6G-8__normal.jpg</v>
      </c>
      <c r="G46" s="66"/>
      <c r="H46" s="70" t="s">
        <v>245</v>
      </c>
      <c r="I46" s="71" t="s">
        <v>5827</v>
      </c>
      <c r="J46" s="71" t="s">
        <v>73</v>
      </c>
      <c r="K46" s="70" t="s">
        <v>2343</v>
      </c>
      <c r="L46" s="74">
        <v>477.0952380952381</v>
      </c>
      <c r="M46" s="75">
        <v>5333.0078125</v>
      </c>
      <c r="N46" s="75">
        <v>1341.44140625</v>
      </c>
      <c r="O46" s="76"/>
      <c r="P46" s="77"/>
      <c r="Q46" s="77"/>
      <c r="R46" s="104"/>
      <c r="S46" s="49">
        <v>1</v>
      </c>
      <c r="T46" s="49">
        <v>2</v>
      </c>
      <c r="U46" s="50">
        <v>243</v>
      </c>
      <c r="V46" s="50">
        <v>0.000651</v>
      </c>
      <c r="W46" s="50">
        <v>9E-06</v>
      </c>
      <c r="X46" s="50">
        <v>1.014063</v>
      </c>
      <c r="Y46" s="50">
        <v>0.3333333333333333</v>
      </c>
      <c r="Z46" s="50">
        <v>0</v>
      </c>
      <c r="AA46" s="72">
        <v>46</v>
      </c>
      <c r="AB46" s="72"/>
      <c r="AC46" s="73"/>
      <c r="AD46" s="89" t="s">
        <v>1519</v>
      </c>
      <c r="AE46" s="102" t="s">
        <v>1803</v>
      </c>
      <c r="AF46" s="89">
        <v>141</v>
      </c>
      <c r="AG46" s="89">
        <v>70</v>
      </c>
      <c r="AH46" s="89">
        <v>2183</v>
      </c>
      <c r="AI46" s="89">
        <v>1469</v>
      </c>
      <c r="AJ46" s="89"/>
      <c r="AK46" s="89" t="s">
        <v>2004</v>
      </c>
      <c r="AL46" s="89"/>
      <c r="AM46" s="89"/>
      <c r="AN46" s="89"/>
      <c r="AO46" s="92">
        <v>43783.67238425926</v>
      </c>
      <c r="AP46" s="89"/>
      <c r="AQ46" s="89" t="b">
        <v>1</v>
      </c>
      <c r="AR46" s="89" t="b">
        <v>0</v>
      </c>
      <c r="AS46" s="89" t="b">
        <v>0</v>
      </c>
      <c r="AT46" s="89"/>
      <c r="AU46" s="89">
        <v>0</v>
      </c>
      <c r="AV46" s="89"/>
      <c r="AW46" s="89" t="b">
        <v>0</v>
      </c>
      <c r="AX46" s="89" t="s">
        <v>2300</v>
      </c>
      <c r="AY46" s="95" t="str">
        <f>HYPERLINK("https://twitter.com/kilpirinne_veli")</f>
        <v>https://twitter.com/kilpirinne_veli</v>
      </c>
      <c r="AZ46" s="89" t="s">
        <v>66</v>
      </c>
      <c r="BA46" s="89" t="str">
        <f>REPLACE(INDEX(GroupVertices[Group],MATCH(Vertices[[#This Row],[Vertex]],GroupVertices[Vertex],0)),1,1,"")</f>
        <v>7</v>
      </c>
      <c r="BB46" s="49">
        <v>0</v>
      </c>
      <c r="BC46" s="50">
        <v>0</v>
      </c>
      <c r="BD46" s="49">
        <v>0</v>
      </c>
      <c r="BE46" s="50">
        <v>0</v>
      </c>
      <c r="BF46" s="49">
        <v>0</v>
      </c>
      <c r="BG46" s="50">
        <v>0</v>
      </c>
      <c r="BH46" s="49">
        <v>30</v>
      </c>
      <c r="BI46" s="50">
        <v>100</v>
      </c>
      <c r="BJ46" s="49">
        <v>30</v>
      </c>
      <c r="BK46" s="49"/>
      <c r="BL46" s="49"/>
      <c r="BM46" s="49"/>
      <c r="BN46" s="49"/>
      <c r="BO46" s="49"/>
      <c r="BP46" s="49"/>
      <c r="BQ46" s="123" t="s">
        <v>5558</v>
      </c>
      <c r="BR46" s="123" t="s">
        <v>5558</v>
      </c>
      <c r="BS46" s="123" t="s">
        <v>5710</v>
      </c>
      <c r="BT46" s="123" t="s">
        <v>5710</v>
      </c>
      <c r="BU46" s="2"/>
      <c r="BV46" s="3"/>
      <c r="BW46" s="3"/>
      <c r="BX46" s="3"/>
      <c r="BY46" s="3"/>
    </row>
    <row r="47" spans="1:77" ht="15">
      <c r="A47" s="65" t="s">
        <v>393</v>
      </c>
      <c r="B47" s="66"/>
      <c r="C47" s="66" t="s">
        <v>64</v>
      </c>
      <c r="D47" s="67">
        <v>392.9842791621962</v>
      </c>
      <c r="E47" s="69"/>
      <c r="F47" s="111" t="str">
        <f>HYPERLINK("https://pbs.twimg.com/profile_images/1387666825991884801/K8u7u4P3_normal.jpg")</f>
        <v>https://pbs.twimg.com/profile_images/1387666825991884801/K8u7u4P3_normal.jpg</v>
      </c>
      <c r="G47" s="66"/>
      <c r="H47" s="70" t="s">
        <v>393</v>
      </c>
      <c r="I47" s="71" t="s">
        <v>5827</v>
      </c>
      <c r="J47" s="71" t="s">
        <v>75</v>
      </c>
      <c r="K47" s="70" t="s">
        <v>2344</v>
      </c>
      <c r="L47" s="74">
        <v>953.1904761904761</v>
      </c>
      <c r="M47" s="75">
        <v>5105.87109375</v>
      </c>
      <c r="N47" s="75">
        <v>1288.2110595703125</v>
      </c>
      <c r="O47" s="76"/>
      <c r="P47" s="77"/>
      <c r="Q47" s="77"/>
      <c r="R47" s="104"/>
      <c r="S47" s="49">
        <v>2</v>
      </c>
      <c r="T47" s="49">
        <v>0</v>
      </c>
      <c r="U47" s="50">
        <v>0</v>
      </c>
      <c r="V47" s="50">
        <v>0.000562</v>
      </c>
      <c r="W47" s="50">
        <v>2E-06</v>
      </c>
      <c r="X47" s="50">
        <v>0.724636</v>
      </c>
      <c r="Y47" s="50">
        <v>0.5</v>
      </c>
      <c r="Z47" s="50">
        <v>0</v>
      </c>
      <c r="AA47" s="72">
        <v>47</v>
      </c>
      <c r="AB47" s="72"/>
      <c r="AC47" s="73"/>
      <c r="AD47" s="89" t="s">
        <v>1520</v>
      </c>
      <c r="AE47" s="102" t="s">
        <v>1347</v>
      </c>
      <c r="AF47" s="89">
        <v>231</v>
      </c>
      <c r="AG47" s="89">
        <v>225</v>
      </c>
      <c r="AH47" s="89">
        <v>1002</v>
      </c>
      <c r="AI47" s="89">
        <v>3977</v>
      </c>
      <c r="AJ47" s="89"/>
      <c r="AK47" s="89" t="s">
        <v>2005</v>
      </c>
      <c r="AL47" s="89" t="s">
        <v>2221</v>
      </c>
      <c r="AM47" s="95" t="str">
        <f>HYPERLINK("https://t.co/49CVIO0PkB")</f>
        <v>https://t.co/49CVIO0PkB</v>
      </c>
      <c r="AN47" s="89"/>
      <c r="AO47" s="92">
        <v>44152.836006944446</v>
      </c>
      <c r="AP47" s="95" t="str">
        <f>HYPERLINK("https://pbs.twimg.com/profile_banners/1328790932418867219/1619680528")</f>
        <v>https://pbs.twimg.com/profile_banners/1328790932418867219/1619680528</v>
      </c>
      <c r="AQ47" s="89" t="b">
        <v>1</v>
      </c>
      <c r="AR47" s="89" t="b">
        <v>0</v>
      </c>
      <c r="AS47" s="89" t="b">
        <v>0</v>
      </c>
      <c r="AT47" s="89"/>
      <c r="AU47" s="89">
        <v>0</v>
      </c>
      <c r="AV47" s="89"/>
      <c r="AW47" s="89" t="b">
        <v>0</v>
      </c>
      <c r="AX47" s="89" t="s">
        <v>2300</v>
      </c>
      <c r="AY47" s="95" t="str">
        <f>HYPERLINK("https://twitter.com/matti_reinikka")</f>
        <v>https://twitter.com/matti_reinikka</v>
      </c>
      <c r="AZ47" s="89" t="s">
        <v>65</v>
      </c>
      <c r="BA47" s="89"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246</v>
      </c>
      <c r="B48" s="66"/>
      <c r="C48" s="66" t="s">
        <v>46</v>
      </c>
      <c r="D48" s="67"/>
      <c r="E48" s="69"/>
      <c r="F48" s="111" t="str">
        <f>HYPERLINK("https://pbs.twimg.com/profile_images/979711513744338946/DFAs3RJO_normal.jpg")</f>
        <v>https://pbs.twimg.com/profile_images/979711513744338946/DFAs3RJO_normal.jpg</v>
      </c>
      <c r="G48" s="66"/>
      <c r="H48" s="70" t="s">
        <v>246</v>
      </c>
      <c r="I48" s="71" t="s">
        <v>5827</v>
      </c>
      <c r="J48" s="71" t="s">
        <v>73</v>
      </c>
      <c r="K48" s="70" t="s">
        <v>2345</v>
      </c>
      <c r="L48" s="74">
        <v>1</v>
      </c>
      <c r="M48" s="75">
        <v>5286.83447265625</v>
      </c>
      <c r="N48" s="75">
        <v>1751.9404296875</v>
      </c>
      <c r="O48" s="76"/>
      <c r="P48" s="77"/>
      <c r="Q48" s="77"/>
      <c r="R48" s="104"/>
      <c r="S48" s="49">
        <v>0</v>
      </c>
      <c r="T48" s="49">
        <v>3</v>
      </c>
      <c r="U48" s="50">
        <v>243</v>
      </c>
      <c r="V48" s="50">
        <v>0.000651</v>
      </c>
      <c r="W48" s="50">
        <v>9E-06</v>
      </c>
      <c r="X48" s="50">
        <v>1.014063</v>
      </c>
      <c r="Y48" s="50">
        <v>0.3333333333333333</v>
      </c>
      <c r="Z48" s="50">
        <v>0</v>
      </c>
      <c r="AA48" s="72">
        <v>48</v>
      </c>
      <c r="AB48" s="72"/>
      <c r="AC48" s="73"/>
      <c r="AD48" s="89" t="s">
        <v>1521</v>
      </c>
      <c r="AE48" s="102" t="s">
        <v>1804</v>
      </c>
      <c r="AF48" s="89">
        <v>250</v>
      </c>
      <c r="AG48" s="89">
        <v>182</v>
      </c>
      <c r="AH48" s="89">
        <v>10129</v>
      </c>
      <c r="AI48" s="89">
        <v>12202</v>
      </c>
      <c r="AJ48" s="89"/>
      <c r="AK48" s="89" t="s">
        <v>2006</v>
      </c>
      <c r="AL48" s="89"/>
      <c r="AM48" s="89"/>
      <c r="AN48" s="89"/>
      <c r="AO48" s="92">
        <v>43185.84278935185</v>
      </c>
      <c r="AP48" s="89"/>
      <c r="AQ48" s="89" t="b">
        <v>1</v>
      </c>
      <c r="AR48" s="89" t="b">
        <v>0</v>
      </c>
      <c r="AS48" s="89" t="b">
        <v>0</v>
      </c>
      <c r="AT48" s="89"/>
      <c r="AU48" s="89">
        <v>0</v>
      </c>
      <c r="AV48" s="89"/>
      <c r="AW48" s="89" t="b">
        <v>0</v>
      </c>
      <c r="AX48" s="89" t="s">
        <v>2300</v>
      </c>
      <c r="AY48" s="95" t="str">
        <f>HYPERLINK("https://twitter.com/etelanmies")</f>
        <v>https://twitter.com/etelanmies</v>
      </c>
      <c r="AZ48" s="89" t="s">
        <v>66</v>
      </c>
      <c r="BA48" s="89" t="str">
        <f>REPLACE(INDEX(GroupVertices[Group],MATCH(Vertices[[#This Row],[Vertex]],GroupVertices[Vertex],0)),1,1,"")</f>
        <v>7</v>
      </c>
      <c r="BB48" s="49">
        <v>0</v>
      </c>
      <c r="BC48" s="50">
        <v>0</v>
      </c>
      <c r="BD48" s="49">
        <v>0</v>
      </c>
      <c r="BE48" s="50">
        <v>0</v>
      </c>
      <c r="BF48" s="49">
        <v>0</v>
      </c>
      <c r="BG48" s="50">
        <v>0</v>
      </c>
      <c r="BH48" s="49">
        <v>30</v>
      </c>
      <c r="BI48" s="50">
        <v>100</v>
      </c>
      <c r="BJ48" s="49">
        <v>30</v>
      </c>
      <c r="BK48" s="49"/>
      <c r="BL48" s="49"/>
      <c r="BM48" s="49"/>
      <c r="BN48" s="49"/>
      <c r="BO48" s="49"/>
      <c r="BP48" s="49"/>
      <c r="BQ48" s="123" t="s">
        <v>5558</v>
      </c>
      <c r="BR48" s="123" t="s">
        <v>5558</v>
      </c>
      <c r="BS48" s="123" t="s">
        <v>5710</v>
      </c>
      <c r="BT48" s="123" t="s">
        <v>5710</v>
      </c>
      <c r="BU48" s="2"/>
      <c r="BV48" s="3"/>
      <c r="BW48" s="3"/>
      <c r="BX48" s="3"/>
      <c r="BY48" s="3"/>
    </row>
    <row r="49" spans="1:77" ht="15">
      <c r="A49" s="65" t="s">
        <v>394</v>
      </c>
      <c r="B49" s="66"/>
      <c r="C49" s="66" t="s">
        <v>46</v>
      </c>
      <c r="D49" s="67">
        <v>10</v>
      </c>
      <c r="E49" s="69"/>
      <c r="F49" s="111" t="str">
        <f>HYPERLINK("https://pbs.twimg.com/profile_images/1328936747691110402/VXb8zAY-_normal.jpg")</f>
        <v>https://pbs.twimg.com/profile_images/1328936747691110402/VXb8zAY-_normal.jpg</v>
      </c>
      <c r="G49" s="66"/>
      <c r="H49" s="70" t="s">
        <v>394</v>
      </c>
      <c r="I49" s="71" t="s">
        <v>5828</v>
      </c>
      <c r="J49" s="71" t="s">
        <v>75</v>
      </c>
      <c r="K49" s="70" t="s">
        <v>2346</v>
      </c>
      <c r="L49" s="74">
        <v>477.0952380952381</v>
      </c>
      <c r="M49" s="75">
        <v>9709.80078125</v>
      </c>
      <c r="N49" s="75">
        <v>5713.71435546875</v>
      </c>
      <c r="O49" s="76"/>
      <c r="P49" s="77"/>
      <c r="Q49" s="77"/>
      <c r="R49" s="104"/>
      <c r="S49" s="49">
        <v>1</v>
      </c>
      <c r="T49" s="49">
        <v>0</v>
      </c>
      <c r="U49" s="50">
        <v>0</v>
      </c>
      <c r="V49" s="50">
        <v>0.2</v>
      </c>
      <c r="W49" s="50">
        <v>0</v>
      </c>
      <c r="X49" s="50">
        <v>0.610686</v>
      </c>
      <c r="Y49" s="50">
        <v>0</v>
      </c>
      <c r="Z49" s="50">
        <v>0</v>
      </c>
      <c r="AA49" s="72">
        <v>49</v>
      </c>
      <c r="AB49" s="72"/>
      <c r="AC49" s="73"/>
      <c r="AD49" s="89" t="s">
        <v>1522</v>
      </c>
      <c r="AE49" s="102" t="s">
        <v>1805</v>
      </c>
      <c r="AF49" s="89">
        <v>1374</v>
      </c>
      <c r="AG49" s="89">
        <v>7462</v>
      </c>
      <c r="AH49" s="89">
        <v>13213</v>
      </c>
      <c r="AI49" s="89">
        <v>21048</v>
      </c>
      <c r="AJ49" s="89"/>
      <c r="AK49" s="89" t="s">
        <v>2007</v>
      </c>
      <c r="AL49" s="89" t="s">
        <v>2231</v>
      </c>
      <c r="AM49" s="95" t="str">
        <f>HYPERLINK("https://t.co/z4Foz6vjbn")</f>
        <v>https://t.co/z4Foz6vjbn</v>
      </c>
      <c r="AN49" s="89"/>
      <c r="AO49" s="92">
        <v>41233.39733796296</v>
      </c>
      <c r="AP49" s="95" t="str">
        <f>HYPERLINK("https://pbs.twimg.com/profile_banners/960127046/1605803716")</f>
        <v>https://pbs.twimg.com/profile_banners/960127046/1605803716</v>
      </c>
      <c r="AQ49" s="89" t="b">
        <v>0</v>
      </c>
      <c r="AR49" s="89" t="b">
        <v>0</v>
      </c>
      <c r="AS49" s="89" t="b">
        <v>0</v>
      </c>
      <c r="AT49" s="89"/>
      <c r="AU49" s="89">
        <v>37</v>
      </c>
      <c r="AV49" s="95" t="str">
        <f>HYPERLINK("https://abs.twimg.com/images/themes/theme1/bg.png")</f>
        <v>https://abs.twimg.com/images/themes/theme1/bg.png</v>
      </c>
      <c r="AW49" s="89" t="b">
        <v>0</v>
      </c>
      <c r="AX49" s="89" t="s">
        <v>2300</v>
      </c>
      <c r="AY49" s="95" t="str">
        <f>HYPERLINK("https://twitter.com/marianordin")</f>
        <v>https://twitter.com/marianordin</v>
      </c>
      <c r="AZ49" s="89" t="s">
        <v>65</v>
      </c>
      <c r="BA49" s="89"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395</v>
      </c>
      <c r="B50" s="66"/>
      <c r="C50" s="66" t="s">
        <v>46</v>
      </c>
      <c r="D50" s="67">
        <v>10</v>
      </c>
      <c r="E50" s="69"/>
      <c r="F50" s="111" t="str">
        <f>HYPERLINK("https://pbs.twimg.com/profile_images/378800000502350217/8208c767ca4736e4d081850607bf40bd_normal.jpeg")</f>
        <v>https://pbs.twimg.com/profile_images/378800000502350217/8208c767ca4736e4d081850607bf40bd_normal.jpeg</v>
      </c>
      <c r="G50" s="66"/>
      <c r="H50" s="70" t="s">
        <v>395</v>
      </c>
      <c r="I50" s="71" t="s">
        <v>5828</v>
      </c>
      <c r="J50" s="71" t="s">
        <v>75</v>
      </c>
      <c r="K50" s="70" t="s">
        <v>2347</v>
      </c>
      <c r="L50" s="74">
        <v>477.0952380952381</v>
      </c>
      <c r="M50" s="75">
        <v>9397.3310546875</v>
      </c>
      <c r="N50" s="75">
        <v>4964.37451171875</v>
      </c>
      <c r="O50" s="76"/>
      <c r="P50" s="77"/>
      <c r="Q50" s="77"/>
      <c r="R50" s="104"/>
      <c r="S50" s="49">
        <v>1</v>
      </c>
      <c r="T50" s="49">
        <v>0</v>
      </c>
      <c r="U50" s="50">
        <v>0</v>
      </c>
      <c r="V50" s="50">
        <v>0.2</v>
      </c>
      <c r="W50" s="50">
        <v>0</v>
      </c>
      <c r="X50" s="50">
        <v>0.610686</v>
      </c>
      <c r="Y50" s="50">
        <v>0</v>
      </c>
      <c r="Z50" s="50">
        <v>0</v>
      </c>
      <c r="AA50" s="72">
        <v>50</v>
      </c>
      <c r="AB50" s="72"/>
      <c r="AC50" s="73"/>
      <c r="AD50" s="89" t="s">
        <v>1523</v>
      </c>
      <c r="AE50" s="102" t="s">
        <v>1348</v>
      </c>
      <c r="AF50" s="89">
        <v>22</v>
      </c>
      <c r="AG50" s="89">
        <v>7</v>
      </c>
      <c r="AH50" s="89">
        <v>119</v>
      </c>
      <c r="AI50" s="89">
        <v>171</v>
      </c>
      <c r="AJ50" s="89"/>
      <c r="AK50" s="89" t="s">
        <v>2008</v>
      </c>
      <c r="AL50" s="89" t="s">
        <v>2223</v>
      </c>
      <c r="AM50" s="89"/>
      <c r="AN50" s="89"/>
      <c r="AO50" s="92">
        <v>40592.726631944446</v>
      </c>
      <c r="AP50" s="95" t="str">
        <f>HYPERLINK("https://pbs.twimg.com/profile_banners/254131446/1583773225")</f>
        <v>https://pbs.twimg.com/profile_banners/254131446/1583773225</v>
      </c>
      <c r="AQ50" s="89" t="b">
        <v>1</v>
      </c>
      <c r="AR50" s="89" t="b">
        <v>0</v>
      </c>
      <c r="AS50" s="89" t="b">
        <v>0</v>
      </c>
      <c r="AT50" s="89"/>
      <c r="AU50" s="89">
        <v>0</v>
      </c>
      <c r="AV50" s="95" t="str">
        <f>HYPERLINK("https://abs.twimg.com/images/themes/theme1/bg.png")</f>
        <v>https://abs.twimg.com/images/themes/theme1/bg.png</v>
      </c>
      <c r="AW50" s="89" t="b">
        <v>0</v>
      </c>
      <c r="AX50" s="89" t="s">
        <v>2300</v>
      </c>
      <c r="AY50" s="95" t="str">
        <f>HYPERLINK("https://twitter.com/tuohon")</f>
        <v>https://twitter.com/tuohon</v>
      </c>
      <c r="AZ50" s="89" t="s">
        <v>65</v>
      </c>
      <c r="BA50" s="89"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248</v>
      </c>
      <c r="B51" s="66"/>
      <c r="C51" s="66" t="s">
        <v>46</v>
      </c>
      <c r="D51" s="67">
        <v>10</v>
      </c>
      <c r="E51" s="69"/>
      <c r="F51" s="111" t="str">
        <f>HYPERLINK("https://pbs.twimg.com/profile_images/1439957986408030211/EQ9eR0rS_normal.jpg")</f>
        <v>https://pbs.twimg.com/profile_images/1439957986408030211/EQ9eR0rS_normal.jpg</v>
      </c>
      <c r="G51" s="66"/>
      <c r="H51" s="70" t="s">
        <v>248</v>
      </c>
      <c r="I51" s="71" t="s">
        <v>5829</v>
      </c>
      <c r="J51" s="71" t="s">
        <v>73</v>
      </c>
      <c r="K51" s="70" t="s">
        <v>2348</v>
      </c>
      <c r="L51" s="74">
        <v>477.0952380952381</v>
      </c>
      <c r="M51" s="75">
        <v>6932.13916015625</v>
      </c>
      <c r="N51" s="75">
        <v>4207.43701171875</v>
      </c>
      <c r="O51" s="76"/>
      <c r="P51" s="77"/>
      <c r="Q51" s="77"/>
      <c r="R51" s="104"/>
      <c r="S51" s="49">
        <v>1</v>
      </c>
      <c r="T51" s="49">
        <v>6</v>
      </c>
      <c r="U51" s="50">
        <v>865.664203</v>
      </c>
      <c r="V51" s="50">
        <v>0.000805</v>
      </c>
      <c r="W51" s="50">
        <v>0.003288</v>
      </c>
      <c r="X51" s="50">
        <v>1.539645</v>
      </c>
      <c r="Y51" s="50">
        <v>0.16666666666666666</v>
      </c>
      <c r="Z51" s="50">
        <v>0.16666666666666666</v>
      </c>
      <c r="AA51" s="72">
        <v>51</v>
      </c>
      <c r="AB51" s="72"/>
      <c r="AC51" s="73"/>
      <c r="AD51" s="89" t="s">
        <v>1524</v>
      </c>
      <c r="AE51" s="102" t="s">
        <v>1351</v>
      </c>
      <c r="AF51" s="89">
        <v>252</v>
      </c>
      <c r="AG51" s="89">
        <v>132</v>
      </c>
      <c r="AH51" s="89">
        <v>7445</v>
      </c>
      <c r="AI51" s="89">
        <v>2424</v>
      </c>
      <c r="AJ51" s="89"/>
      <c r="AK51" s="89"/>
      <c r="AL51" s="89"/>
      <c r="AM51" s="89"/>
      <c r="AN51" s="89"/>
      <c r="AO51" s="92">
        <v>44433.553136574075</v>
      </c>
      <c r="AP51" s="89"/>
      <c r="AQ51" s="89" t="b">
        <v>1</v>
      </c>
      <c r="AR51" s="89" t="b">
        <v>0</v>
      </c>
      <c r="AS51" s="89" t="b">
        <v>0</v>
      </c>
      <c r="AT51" s="89"/>
      <c r="AU51" s="89">
        <v>1</v>
      </c>
      <c r="AV51" s="89"/>
      <c r="AW51" s="89" t="b">
        <v>0</v>
      </c>
      <c r="AX51" s="89" t="s">
        <v>2300</v>
      </c>
      <c r="AY51" s="95" t="str">
        <f>HYPERLINK("https://twitter.com/johnpulm")</f>
        <v>https://twitter.com/johnpulm</v>
      </c>
      <c r="AZ51" s="89" t="s">
        <v>66</v>
      </c>
      <c r="BA51" s="89" t="str">
        <f>REPLACE(INDEX(GroupVertices[Group],MATCH(Vertices[[#This Row],[Vertex]],GroupVertices[Vertex],0)),1,1,"")</f>
        <v>9</v>
      </c>
      <c r="BB51" s="49">
        <v>0</v>
      </c>
      <c r="BC51" s="50">
        <v>0</v>
      </c>
      <c r="BD51" s="49">
        <v>0</v>
      </c>
      <c r="BE51" s="50">
        <v>0</v>
      </c>
      <c r="BF51" s="49">
        <v>0</v>
      </c>
      <c r="BG51" s="50">
        <v>0</v>
      </c>
      <c r="BH51" s="49">
        <v>54</v>
      </c>
      <c r="BI51" s="50">
        <v>100</v>
      </c>
      <c r="BJ51" s="49">
        <v>54</v>
      </c>
      <c r="BK51" s="49"/>
      <c r="BL51" s="49"/>
      <c r="BM51" s="49"/>
      <c r="BN51" s="49"/>
      <c r="BO51" s="49"/>
      <c r="BP51" s="49"/>
      <c r="BQ51" s="123" t="s">
        <v>5559</v>
      </c>
      <c r="BR51" s="123" t="s">
        <v>5656</v>
      </c>
      <c r="BS51" s="123" t="s">
        <v>5711</v>
      </c>
      <c r="BT51" s="123" t="s">
        <v>5801</v>
      </c>
      <c r="BU51" s="2"/>
      <c r="BV51" s="3"/>
      <c r="BW51" s="3"/>
      <c r="BX51" s="3"/>
      <c r="BY51" s="3"/>
    </row>
    <row r="52" spans="1:77" ht="15">
      <c r="A52" s="65" t="s">
        <v>396</v>
      </c>
      <c r="B52" s="66"/>
      <c r="C52" s="66" t="s">
        <v>64</v>
      </c>
      <c r="D52" s="67">
        <v>392.9842791621962</v>
      </c>
      <c r="E52" s="69"/>
      <c r="F52" s="111" t="str">
        <f>HYPERLINK("https://pbs.twimg.com/profile_images/910147240844513280/a5otkC1i_normal.jpg")</f>
        <v>https://pbs.twimg.com/profile_images/910147240844513280/a5otkC1i_normal.jpg</v>
      </c>
      <c r="G52" s="66"/>
      <c r="H52" s="70" t="s">
        <v>396</v>
      </c>
      <c r="I52" s="71" t="s">
        <v>5829</v>
      </c>
      <c r="J52" s="71" t="s">
        <v>75</v>
      </c>
      <c r="K52" s="70" t="s">
        <v>2349</v>
      </c>
      <c r="L52" s="74">
        <v>953.1904761904761</v>
      </c>
      <c r="M52" s="75">
        <v>7219.89892578125</v>
      </c>
      <c r="N52" s="75">
        <v>3764.24072265625</v>
      </c>
      <c r="O52" s="76"/>
      <c r="P52" s="77"/>
      <c r="Q52" s="77"/>
      <c r="R52" s="104"/>
      <c r="S52" s="49">
        <v>2</v>
      </c>
      <c r="T52" s="49">
        <v>0</v>
      </c>
      <c r="U52" s="50">
        <v>0</v>
      </c>
      <c r="V52" s="50">
        <v>0.000673</v>
      </c>
      <c r="W52" s="50">
        <v>0.000767</v>
      </c>
      <c r="X52" s="50">
        <v>0.586233</v>
      </c>
      <c r="Y52" s="50">
        <v>1</v>
      </c>
      <c r="Z52" s="50">
        <v>0</v>
      </c>
      <c r="AA52" s="72">
        <v>52</v>
      </c>
      <c r="AB52" s="72"/>
      <c r="AC52" s="73"/>
      <c r="AD52" s="89" t="s">
        <v>1525</v>
      </c>
      <c r="AE52" s="102" t="s">
        <v>1806</v>
      </c>
      <c r="AF52" s="89">
        <v>1461</v>
      </c>
      <c r="AG52" s="89">
        <v>414</v>
      </c>
      <c r="AH52" s="89">
        <v>4831</v>
      </c>
      <c r="AI52" s="89">
        <v>18993</v>
      </c>
      <c r="AJ52" s="89"/>
      <c r="AK52" s="89" t="s">
        <v>2009</v>
      </c>
      <c r="AL52" s="89"/>
      <c r="AM52" s="89"/>
      <c r="AN52" s="89"/>
      <c r="AO52" s="92">
        <v>40919.34649305556</v>
      </c>
      <c r="AP52" s="95" t="str">
        <f>HYPERLINK("https://pbs.twimg.com/profile_banners/460925479/1505830493")</f>
        <v>https://pbs.twimg.com/profile_banners/460925479/1505830493</v>
      </c>
      <c r="AQ52" s="89" t="b">
        <v>0</v>
      </c>
      <c r="AR52" s="89" t="b">
        <v>0</v>
      </c>
      <c r="AS52" s="89" t="b">
        <v>1</v>
      </c>
      <c r="AT52" s="89"/>
      <c r="AU52" s="89">
        <v>1</v>
      </c>
      <c r="AV52" s="95" t="str">
        <f>HYPERLINK("https://abs.twimg.com/images/themes/theme1/bg.png")</f>
        <v>https://abs.twimg.com/images/themes/theme1/bg.png</v>
      </c>
      <c r="AW52" s="89" t="b">
        <v>0</v>
      </c>
      <c r="AX52" s="89" t="s">
        <v>2300</v>
      </c>
      <c r="AY52" s="95" t="str">
        <f>HYPERLINK("https://twitter.com/finreccu")</f>
        <v>https://twitter.com/finreccu</v>
      </c>
      <c r="AZ52" s="89" t="s">
        <v>65</v>
      </c>
      <c r="BA52" s="89"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249</v>
      </c>
      <c r="B53" s="66"/>
      <c r="C53" s="66" t="s">
        <v>46</v>
      </c>
      <c r="D53" s="67">
        <v>10</v>
      </c>
      <c r="E53" s="69"/>
      <c r="F53" s="111" t="str">
        <f>HYPERLINK("https://pbs.twimg.com/profile_images/1288214289489305601/8Hm-nkYT_normal.jpg")</f>
        <v>https://pbs.twimg.com/profile_images/1288214289489305601/8Hm-nkYT_normal.jpg</v>
      </c>
      <c r="G53" s="66"/>
      <c r="H53" s="70" t="s">
        <v>249</v>
      </c>
      <c r="I53" s="71" t="s">
        <v>5829</v>
      </c>
      <c r="J53" s="71" t="s">
        <v>73</v>
      </c>
      <c r="K53" s="70" t="s">
        <v>2350</v>
      </c>
      <c r="L53" s="74">
        <v>477.0952380952381</v>
      </c>
      <c r="M53" s="75">
        <v>7031.22998046875</v>
      </c>
      <c r="N53" s="75">
        <v>4452.669921875</v>
      </c>
      <c r="O53" s="76"/>
      <c r="P53" s="77"/>
      <c r="Q53" s="77"/>
      <c r="R53" s="104"/>
      <c r="S53" s="49">
        <v>1</v>
      </c>
      <c r="T53" s="49">
        <v>6</v>
      </c>
      <c r="U53" s="50">
        <v>865.664203</v>
      </c>
      <c r="V53" s="50">
        <v>0.000805</v>
      </c>
      <c r="W53" s="50">
        <v>0.003288</v>
      </c>
      <c r="X53" s="50">
        <v>1.539645</v>
      </c>
      <c r="Y53" s="50">
        <v>0.16666666666666666</v>
      </c>
      <c r="Z53" s="50">
        <v>0.16666666666666666</v>
      </c>
      <c r="AA53" s="72">
        <v>53</v>
      </c>
      <c r="AB53" s="72"/>
      <c r="AC53" s="73"/>
      <c r="AD53" s="89" t="s">
        <v>1526</v>
      </c>
      <c r="AE53" s="102" t="s">
        <v>1350</v>
      </c>
      <c r="AF53" s="89">
        <v>471</v>
      </c>
      <c r="AG53" s="89">
        <v>342</v>
      </c>
      <c r="AH53" s="89">
        <v>21087</v>
      </c>
      <c r="AI53" s="89">
        <v>50261</v>
      </c>
      <c r="AJ53" s="89"/>
      <c r="AK53" s="89" t="s">
        <v>2010</v>
      </c>
      <c r="AL53" s="89"/>
      <c r="AM53" s="89"/>
      <c r="AN53" s="89"/>
      <c r="AO53" s="92">
        <v>40308.293217592596</v>
      </c>
      <c r="AP53" s="89"/>
      <c r="AQ53" s="89" t="b">
        <v>1</v>
      </c>
      <c r="AR53" s="89" t="b">
        <v>0</v>
      </c>
      <c r="AS53" s="89" t="b">
        <v>0</v>
      </c>
      <c r="AT53" s="89"/>
      <c r="AU53" s="89">
        <v>2</v>
      </c>
      <c r="AV53" s="95" t="str">
        <f>HYPERLINK("https://abs.twimg.com/images/themes/theme1/bg.png")</f>
        <v>https://abs.twimg.com/images/themes/theme1/bg.png</v>
      </c>
      <c r="AW53" s="89" t="b">
        <v>0</v>
      </c>
      <c r="AX53" s="89" t="s">
        <v>2300</v>
      </c>
      <c r="AY53" s="95" t="str">
        <f>HYPERLINK("https://twitter.com/rvalimaki")</f>
        <v>https://twitter.com/rvalimaki</v>
      </c>
      <c r="AZ53" s="89" t="s">
        <v>66</v>
      </c>
      <c r="BA53" s="89" t="str">
        <f>REPLACE(INDEX(GroupVertices[Group],MATCH(Vertices[[#This Row],[Vertex]],GroupVertices[Vertex],0)),1,1,"")</f>
        <v>9</v>
      </c>
      <c r="BB53" s="49">
        <v>1</v>
      </c>
      <c r="BC53" s="50">
        <v>1.3333333333333333</v>
      </c>
      <c r="BD53" s="49">
        <v>0</v>
      </c>
      <c r="BE53" s="50">
        <v>0</v>
      </c>
      <c r="BF53" s="49">
        <v>0</v>
      </c>
      <c r="BG53" s="50">
        <v>0</v>
      </c>
      <c r="BH53" s="49">
        <v>74</v>
      </c>
      <c r="BI53" s="50">
        <v>98.66666666666667</v>
      </c>
      <c r="BJ53" s="49">
        <v>75</v>
      </c>
      <c r="BK53" s="49"/>
      <c r="BL53" s="49"/>
      <c r="BM53" s="49"/>
      <c r="BN53" s="49"/>
      <c r="BO53" s="49"/>
      <c r="BP53" s="49"/>
      <c r="BQ53" s="123" t="s">
        <v>5560</v>
      </c>
      <c r="BR53" s="123" t="s">
        <v>5657</v>
      </c>
      <c r="BS53" s="123" t="s">
        <v>5712</v>
      </c>
      <c r="BT53" s="123" t="s">
        <v>5802</v>
      </c>
      <c r="BU53" s="2"/>
      <c r="BV53" s="3"/>
      <c r="BW53" s="3"/>
      <c r="BX53" s="3"/>
      <c r="BY53" s="3"/>
    </row>
    <row r="54" spans="1:77" ht="15">
      <c r="A54" s="65" t="s">
        <v>271</v>
      </c>
      <c r="B54" s="66"/>
      <c r="C54" s="66" t="s">
        <v>64</v>
      </c>
      <c r="D54" s="67">
        <v>392.9842791621962</v>
      </c>
      <c r="E54" s="69"/>
      <c r="F54" s="111" t="str">
        <f>HYPERLINK("https://pbs.twimg.com/profile_images/1287141799828561920/L0uP3w1k_normal.jpg")</f>
        <v>https://pbs.twimg.com/profile_images/1287141799828561920/L0uP3w1k_normal.jpg</v>
      </c>
      <c r="G54" s="66"/>
      <c r="H54" s="70" t="s">
        <v>271</v>
      </c>
      <c r="I54" s="71" t="s">
        <v>5829</v>
      </c>
      <c r="J54" s="71" t="s">
        <v>73</v>
      </c>
      <c r="K54" s="70" t="s">
        <v>2351</v>
      </c>
      <c r="L54" s="74">
        <v>953.1904761904761</v>
      </c>
      <c r="M54" s="75">
        <v>7392.875</v>
      </c>
      <c r="N54" s="75">
        <v>4387.46728515625</v>
      </c>
      <c r="O54" s="76"/>
      <c r="P54" s="77"/>
      <c r="Q54" s="77"/>
      <c r="R54" s="104"/>
      <c r="S54" s="49">
        <v>2</v>
      </c>
      <c r="T54" s="49">
        <v>3</v>
      </c>
      <c r="U54" s="50">
        <v>1729.915554</v>
      </c>
      <c r="V54" s="50">
        <v>0.000898</v>
      </c>
      <c r="W54" s="50">
        <v>0.021535</v>
      </c>
      <c r="X54" s="50">
        <v>1.064178</v>
      </c>
      <c r="Y54" s="50">
        <v>0.2</v>
      </c>
      <c r="Z54" s="50">
        <v>0</v>
      </c>
      <c r="AA54" s="72">
        <v>54</v>
      </c>
      <c r="AB54" s="72"/>
      <c r="AC54" s="73"/>
      <c r="AD54" s="89" t="s">
        <v>1527</v>
      </c>
      <c r="AE54" s="102" t="s">
        <v>1807</v>
      </c>
      <c r="AF54" s="89">
        <v>3508</v>
      </c>
      <c r="AG54" s="89">
        <v>879</v>
      </c>
      <c r="AH54" s="89">
        <v>36133</v>
      </c>
      <c r="AI54" s="89">
        <v>172906</v>
      </c>
      <c r="AJ54" s="89"/>
      <c r="AK54" s="95" t="str">
        <f>HYPERLINK("https://t.co/hJKJcCGXLB")</f>
        <v>https://t.co/hJKJcCGXLB</v>
      </c>
      <c r="AL54" s="89" t="s">
        <v>2232</v>
      </c>
      <c r="AM54" s="89"/>
      <c r="AN54" s="89"/>
      <c r="AO54" s="92">
        <v>42022.408171296294</v>
      </c>
      <c r="AP54" s="89"/>
      <c r="AQ54" s="89" t="b">
        <v>1</v>
      </c>
      <c r="AR54" s="89" t="b">
        <v>0</v>
      </c>
      <c r="AS54" s="89" t="b">
        <v>1</v>
      </c>
      <c r="AT54" s="89"/>
      <c r="AU54" s="89">
        <v>1</v>
      </c>
      <c r="AV54" s="95" t="str">
        <f>HYPERLINK("https://abs.twimg.com/images/themes/theme1/bg.png")</f>
        <v>https://abs.twimg.com/images/themes/theme1/bg.png</v>
      </c>
      <c r="AW54" s="89" t="b">
        <v>0</v>
      </c>
      <c r="AX54" s="89" t="s">
        <v>2300</v>
      </c>
      <c r="AY54" s="95" t="str">
        <f>HYPERLINK("https://twitter.com/apekanerva")</f>
        <v>https://twitter.com/apekanerva</v>
      </c>
      <c r="AZ54" s="89" t="s">
        <v>66</v>
      </c>
      <c r="BA54" s="89" t="str">
        <f>REPLACE(INDEX(GroupVertices[Group],MATCH(Vertices[[#This Row],[Vertex]],GroupVertices[Vertex],0)),1,1,"")</f>
        <v>9</v>
      </c>
      <c r="BB54" s="49">
        <v>0</v>
      </c>
      <c r="BC54" s="50">
        <v>0</v>
      </c>
      <c r="BD54" s="49">
        <v>0</v>
      </c>
      <c r="BE54" s="50">
        <v>0</v>
      </c>
      <c r="BF54" s="49">
        <v>0</v>
      </c>
      <c r="BG54" s="50">
        <v>0</v>
      </c>
      <c r="BH54" s="49">
        <v>13</v>
      </c>
      <c r="BI54" s="50">
        <v>100</v>
      </c>
      <c r="BJ54" s="49">
        <v>13</v>
      </c>
      <c r="BK54" s="49"/>
      <c r="BL54" s="49"/>
      <c r="BM54" s="49"/>
      <c r="BN54" s="49"/>
      <c r="BO54" s="49" t="s">
        <v>712</v>
      </c>
      <c r="BP54" s="49" t="s">
        <v>712</v>
      </c>
      <c r="BQ54" s="123" t="s">
        <v>5561</v>
      </c>
      <c r="BR54" s="123" t="s">
        <v>5561</v>
      </c>
      <c r="BS54" s="123" t="s">
        <v>5713</v>
      </c>
      <c r="BT54" s="123" t="s">
        <v>5713</v>
      </c>
      <c r="BU54" s="2"/>
      <c r="BV54" s="3"/>
      <c r="BW54" s="3"/>
      <c r="BX54" s="3"/>
      <c r="BY54" s="3"/>
    </row>
    <row r="55" spans="1:77" ht="15">
      <c r="A55" s="65" t="s">
        <v>397</v>
      </c>
      <c r="B55" s="66"/>
      <c r="C55" s="66" t="s">
        <v>64</v>
      </c>
      <c r="D55" s="67">
        <v>392.9842791621962</v>
      </c>
      <c r="E55" s="69"/>
      <c r="F55" s="111" t="str">
        <f>HYPERLINK("https://pbs.twimg.com/profile_images/1273564120936218627/9qogkbZl_normal.jpg")</f>
        <v>https://pbs.twimg.com/profile_images/1273564120936218627/9qogkbZl_normal.jpg</v>
      </c>
      <c r="G55" s="66"/>
      <c r="H55" s="70" t="s">
        <v>397</v>
      </c>
      <c r="I55" s="71" t="s">
        <v>5829</v>
      </c>
      <c r="J55" s="71" t="s">
        <v>75</v>
      </c>
      <c r="K55" s="70" t="s">
        <v>2352</v>
      </c>
      <c r="L55" s="74">
        <v>953.1904761904761</v>
      </c>
      <c r="M55" s="75">
        <v>6760.59423828125</v>
      </c>
      <c r="N55" s="75">
        <v>3746.699462890625</v>
      </c>
      <c r="O55" s="76"/>
      <c r="P55" s="77"/>
      <c r="Q55" s="77"/>
      <c r="R55" s="104"/>
      <c r="S55" s="49">
        <v>2</v>
      </c>
      <c r="T55" s="49">
        <v>0</v>
      </c>
      <c r="U55" s="50">
        <v>0</v>
      </c>
      <c r="V55" s="50">
        <v>0.000673</v>
      </c>
      <c r="W55" s="50">
        <v>0.000767</v>
      </c>
      <c r="X55" s="50">
        <v>0.586233</v>
      </c>
      <c r="Y55" s="50">
        <v>1</v>
      </c>
      <c r="Z55" s="50">
        <v>0</v>
      </c>
      <c r="AA55" s="72">
        <v>55</v>
      </c>
      <c r="AB55" s="72"/>
      <c r="AC55" s="73"/>
      <c r="AD55" s="89" t="s">
        <v>1528</v>
      </c>
      <c r="AE55" s="102" t="s">
        <v>1808</v>
      </c>
      <c r="AF55" s="89">
        <v>1817</v>
      </c>
      <c r="AG55" s="89">
        <v>841</v>
      </c>
      <c r="AH55" s="89">
        <v>78948</v>
      </c>
      <c r="AI55" s="89">
        <v>41057</v>
      </c>
      <c r="AJ55" s="89"/>
      <c r="AK55" s="89" t="s">
        <v>2011</v>
      </c>
      <c r="AL55" s="89" t="s">
        <v>2233</v>
      </c>
      <c r="AM55" s="95" t="str">
        <f>HYPERLINK("http://t.co/PYvrxpdmjQ")</f>
        <v>http://t.co/PYvrxpdmjQ</v>
      </c>
      <c r="AN55" s="89"/>
      <c r="AO55" s="92">
        <v>41399.367951388886</v>
      </c>
      <c r="AP55" s="95" t="str">
        <f>HYPERLINK("https://pbs.twimg.com/profile_banners/1404521468/1397144245")</f>
        <v>https://pbs.twimg.com/profile_banners/1404521468/1397144245</v>
      </c>
      <c r="AQ55" s="89" t="b">
        <v>0</v>
      </c>
      <c r="AR55" s="89" t="b">
        <v>0</v>
      </c>
      <c r="AS55" s="89" t="b">
        <v>0</v>
      </c>
      <c r="AT55" s="89"/>
      <c r="AU55" s="89">
        <v>25</v>
      </c>
      <c r="AV55" s="95" t="str">
        <f>HYPERLINK("https://abs.twimg.com/images/themes/theme1/bg.png")</f>
        <v>https://abs.twimg.com/images/themes/theme1/bg.png</v>
      </c>
      <c r="AW55" s="89" t="b">
        <v>0</v>
      </c>
      <c r="AX55" s="89" t="s">
        <v>2300</v>
      </c>
      <c r="AY55" s="95" t="str">
        <f>HYPERLINK("https://twitter.com/samuligloersen")</f>
        <v>https://twitter.com/samuligloersen</v>
      </c>
      <c r="AZ55" s="89" t="s">
        <v>65</v>
      </c>
      <c r="BA55" s="89"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398</v>
      </c>
      <c r="B56" s="66"/>
      <c r="C56" s="66" t="s">
        <v>64</v>
      </c>
      <c r="D56" s="67">
        <v>392.9842791621962</v>
      </c>
      <c r="E56" s="69"/>
      <c r="F56" s="111" t="str">
        <f>HYPERLINK("https://pbs.twimg.com/profile_images/1443313892332122112/M2Je0xB0_normal.jpg")</f>
        <v>https://pbs.twimg.com/profile_images/1443313892332122112/M2Je0xB0_normal.jpg</v>
      </c>
      <c r="G56" s="66"/>
      <c r="H56" s="70" t="s">
        <v>398</v>
      </c>
      <c r="I56" s="71" t="s">
        <v>5829</v>
      </c>
      <c r="J56" s="71" t="s">
        <v>75</v>
      </c>
      <c r="K56" s="70" t="s">
        <v>2353</v>
      </c>
      <c r="L56" s="74">
        <v>953.1904761904761</v>
      </c>
      <c r="M56" s="75">
        <v>6502.0078125</v>
      </c>
      <c r="N56" s="75">
        <v>4386.46435546875</v>
      </c>
      <c r="O56" s="76"/>
      <c r="P56" s="77"/>
      <c r="Q56" s="77"/>
      <c r="R56" s="104"/>
      <c r="S56" s="49">
        <v>2</v>
      </c>
      <c r="T56" s="49">
        <v>0</v>
      </c>
      <c r="U56" s="50">
        <v>0</v>
      </c>
      <c r="V56" s="50">
        <v>0.000673</v>
      </c>
      <c r="W56" s="50">
        <v>0.000767</v>
      </c>
      <c r="X56" s="50">
        <v>0.586233</v>
      </c>
      <c r="Y56" s="50">
        <v>1</v>
      </c>
      <c r="Z56" s="50">
        <v>0</v>
      </c>
      <c r="AA56" s="72">
        <v>56</v>
      </c>
      <c r="AB56" s="72"/>
      <c r="AC56" s="73"/>
      <c r="AD56" s="89" t="s">
        <v>1529</v>
      </c>
      <c r="AE56" s="102" t="s">
        <v>1352</v>
      </c>
      <c r="AF56" s="89">
        <v>560</v>
      </c>
      <c r="AG56" s="89">
        <v>226</v>
      </c>
      <c r="AH56" s="89">
        <v>7357</v>
      </c>
      <c r="AI56" s="89">
        <v>19718</v>
      </c>
      <c r="AJ56" s="89"/>
      <c r="AK56" s="89" t="s">
        <v>2012</v>
      </c>
      <c r="AL56" s="89"/>
      <c r="AM56" s="89"/>
      <c r="AN56" s="89"/>
      <c r="AO56" s="92">
        <v>43806.42596064815</v>
      </c>
      <c r="AP56" s="89"/>
      <c r="AQ56" s="89" t="b">
        <v>1</v>
      </c>
      <c r="AR56" s="89" t="b">
        <v>0</v>
      </c>
      <c r="AS56" s="89" t="b">
        <v>0</v>
      </c>
      <c r="AT56" s="89"/>
      <c r="AU56" s="89">
        <v>2</v>
      </c>
      <c r="AV56" s="89"/>
      <c r="AW56" s="89" t="b">
        <v>0</v>
      </c>
      <c r="AX56" s="89" t="s">
        <v>2300</v>
      </c>
      <c r="AY56" s="95" t="str">
        <f>HYPERLINK("https://twitter.com/rippperjohnson")</f>
        <v>https://twitter.com/rippperjohnson</v>
      </c>
      <c r="AZ56" s="89" t="s">
        <v>65</v>
      </c>
      <c r="BA56" s="89"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399</v>
      </c>
      <c r="B57" s="66"/>
      <c r="C57" s="66" t="s">
        <v>64</v>
      </c>
      <c r="D57" s="67">
        <v>775.9685583243923</v>
      </c>
      <c r="E57" s="69"/>
      <c r="F57" s="111" t="str">
        <f>HYPERLINK("https://pbs.twimg.com/profile_images/1359531778944487430/lerpZPvT_normal.jpg")</f>
        <v>https://pbs.twimg.com/profile_images/1359531778944487430/lerpZPvT_normal.jpg</v>
      </c>
      <c r="G57" s="66"/>
      <c r="H57" s="70" t="s">
        <v>399</v>
      </c>
      <c r="I57" s="71" t="s">
        <v>5829</v>
      </c>
      <c r="J57" s="71" t="s">
        <v>75</v>
      </c>
      <c r="K57" s="70" t="s">
        <v>2354</v>
      </c>
      <c r="L57" s="74">
        <v>1905.3809523809523</v>
      </c>
      <c r="M57" s="75">
        <v>7008.51416015625</v>
      </c>
      <c r="N57" s="75">
        <v>5270.4150390625</v>
      </c>
      <c r="O57" s="76"/>
      <c r="P57" s="77"/>
      <c r="Q57" s="77"/>
      <c r="R57" s="104"/>
      <c r="S57" s="49">
        <v>4</v>
      </c>
      <c r="T57" s="49">
        <v>0</v>
      </c>
      <c r="U57" s="50">
        <v>1425.639368</v>
      </c>
      <c r="V57" s="50">
        <v>0.000836</v>
      </c>
      <c r="W57" s="50">
        <v>0.001053</v>
      </c>
      <c r="X57" s="50">
        <v>1.14434</v>
      </c>
      <c r="Y57" s="50">
        <v>0.16666666666666666</v>
      </c>
      <c r="Z57" s="50">
        <v>0</v>
      </c>
      <c r="AA57" s="72">
        <v>57</v>
      </c>
      <c r="AB57" s="72"/>
      <c r="AC57" s="73"/>
      <c r="AD57" s="89" t="s">
        <v>1530</v>
      </c>
      <c r="AE57" s="102" t="s">
        <v>1349</v>
      </c>
      <c r="AF57" s="89">
        <v>2498</v>
      </c>
      <c r="AG57" s="89">
        <v>1570</v>
      </c>
      <c r="AH57" s="89">
        <v>16136</v>
      </c>
      <c r="AI57" s="89">
        <v>16456</v>
      </c>
      <c r="AJ57" s="89"/>
      <c r="AK57" s="89" t="s">
        <v>2013</v>
      </c>
      <c r="AL57" s="89"/>
      <c r="AM57" s="89"/>
      <c r="AN57" s="89"/>
      <c r="AO57" s="92">
        <v>43509.36604166667</v>
      </c>
      <c r="AP57" s="95" t="str">
        <f>HYPERLINK("https://pbs.twimg.com/profile_banners/1095605271433564161/1623696076")</f>
        <v>https://pbs.twimg.com/profile_banners/1095605271433564161/1623696076</v>
      </c>
      <c r="AQ57" s="89" t="b">
        <v>0</v>
      </c>
      <c r="AR57" s="89" t="b">
        <v>0</v>
      </c>
      <c r="AS57" s="89" t="b">
        <v>0</v>
      </c>
      <c r="AT57" s="89"/>
      <c r="AU57" s="89">
        <v>10</v>
      </c>
      <c r="AV57" s="95" t="str">
        <f>HYPERLINK("https://abs.twimg.com/images/themes/theme1/bg.png")</f>
        <v>https://abs.twimg.com/images/themes/theme1/bg.png</v>
      </c>
      <c r="AW57" s="89" t="b">
        <v>0</v>
      </c>
      <c r="AX57" s="89" t="s">
        <v>2300</v>
      </c>
      <c r="AY57" s="95" t="str">
        <f>HYPERLINK("https://twitter.com/hannu42")</f>
        <v>https://twitter.com/hannu42</v>
      </c>
      <c r="AZ57" s="89" t="s">
        <v>65</v>
      </c>
      <c r="BA57" s="89"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250</v>
      </c>
      <c r="B58" s="66"/>
      <c r="C58" s="66" t="s">
        <v>46</v>
      </c>
      <c r="D58" s="67"/>
      <c r="E58" s="69"/>
      <c r="F58" s="111" t="str">
        <f>HYPERLINK("https://abs.twimg.com/sticky/default_profile_images/default_profile_normal.png")</f>
        <v>https://abs.twimg.com/sticky/default_profile_images/default_profile_normal.png</v>
      </c>
      <c r="G58" s="66"/>
      <c r="H58" s="70" t="s">
        <v>250</v>
      </c>
      <c r="I58" s="71" t="s">
        <v>5830</v>
      </c>
      <c r="J58" s="71" t="s">
        <v>73</v>
      </c>
      <c r="K58" s="70" t="s">
        <v>2355</v>
      </c>
      <c r="L58" s="74">
        <v>1</v>
      </c>
      <c r="M58" s="75">
        <v>6502.005859375</v>
      </c>
      <c r="N58" s="75">
        <v>684.5130004882812</v>
      </c>
      <c r="O58" s="76"/>
      <c r="P58" s="77"/>
      <c r="Q58" s="77"/>
      <c r="R58" s="104"/>
      <c r="S58" s="49">
        <v>0</v>
      </c>
      <c r="T58" s="49">
        <v>1</v>
      </c>
      <c r="U58" s="50">
        <v>0</v>
      </c>
      <c r="V58" s="50">
        <v>0.142857</v>
      </c>
      <c r="W58" s="50">
        <v>0</v>
      </c>
      <c r="X58" s="50">
        <v>0.655404</v>
      </c>
      <c r="Y58" s="50">
        <v>0</v>
      </c>
      <c r="Z58" s="50">
        <v>0</v>
      </c>
      <c r="AA58" s="72">
        <v>58</v>
      </c>
      <c r="AB58" s="72"/>
      <c r="AC58" s="73"/>
      <c r="AD58" s="89" t="s">
        <v>1531</v>
      </c>
      <c r="AE58" s="102" t="s">
        <v>1809</v>
      </c>
      <c r="AF58" s="89">
        <v>402</v>
      </c>
      <c r="AG58" s="89">
        <v>78</v>
      </c>
      <c r="AH58" s="89">
        <v>1290</v>
      </c>
      <c r="AI58" s="89">
        <v>114020</v>
      </c>
      <c r="AJ58" s="89"/>
      <c r="AK58" s="89"/>
      <c r="AL58" s="89" t="s">
        <v>2234</v>
      </c>
      <c r="AM58" s="89"/>
      <c r="AN58" s="89"/>
      <c r="AO58" s="92">
        <v>43941.49980324074</v>
      </c>
      <c r="AP58" s="89"/>
      <c r="AQ58" s="89" t="b">
        <v>1</v>
      </c>
      <c r="AR58" s="89" t="b">
        <v>1</v>
      </c>
      <c r="AS58" s="89" t="b">
        <v>0</v>
      </c>
      <c r="AT58" s="89"/>
      <c r="AU58" s="89">
        <v>0</v>
      </c>
      <c r="AV58" s="89"/>
      <c r="AW58" s="89" t="b">
        <v>0</v>
      </c>
      <c r="AX58" s="89" t="s">
        <v>2300</v>
      </c>
      <c r="AY58" s="95" t="str">
        <f>HYPERLINK("https://twitter.com/ristoreipas10")</f>
        <v>https://twitter.com/ristoreipas10</v>
      </c>
      <c r="AZ58" s="89" t="s">
        <v>66</v>
      </c>
      <c r="BA58" s="89" t="str">
        <f>REPLACE(INDEX(GroupVertices[Group],MATCH(Vertices[[#This Row],[Vertex]],GroupVertices[Vertex],0)),1,1,"")</f>
        <v>12</v>
      </c>
      <c r="BB58" s="49">
        <v>0</v>
      </c>
      <c r="BC58" s="50">
        <v>0</v>
      </c>
      <c r="BD58" s="49">
        <v>0</v>
      </c>
      <c r="BE58" s="50">
        <v>0</v>
      </c>
      <c r="BF58" s="49">
        <v>0</v>
      </c>
      <c r="BG58" s="50">
        <v>0</v>
      </c>
      <c r="BH58" s="49">
        <v>18</v>
      </c>
      <c r="BI58" s="50">
        <v>100</v>
      </c>
      <c r="BJ58" s="49">
        <v>18</v>
      </c>
      <c r="BK58" s="49" t="s">
        <v>5242</v>
      </c>
      <c r="BL58" s="49" t="s">
        <v>5242</v>
      </c>
      <c r="BM58" s="49" t="s">
        <v>693</v>
      </c>
      <c r="BN58" s="49" t="s">
        <v>693</v>
      </c>
      <c r="BO58" s="49"/>
      <c r="BP58" s="49"/>
      <c r="BQ58" s="123" t="s">
        <v>5562</v>
      </c>
      <c r="BR58" s="123" t="s">
        <v>5562</v>
      </c>
      <c r="BS58" s="123" t="s">
        <v>5714</v>
      </c>
      <c r="BT58" s="123" t="s">
        <v>5714</v>
      </c>
      <c r="BU58" s="2"/>
      <c r="BV58" s="3"/>
      <c r="BW58" s="3"/>
      <c r="BX58" s="3"/>
      <c r="BY58" s="3"/>
    </row>
    <row r="59" spans="1:77" ht="15">
      <c r="A59" s="65" t="s">
        <v>400</v>
      </c>
      <c r="B59" s="66"/>
      <c r="C59" s="66" t="s">
        <v>64</v>
      </c>
      <c r="D59" s="67">
        <v>775.9685583243923</v>
      </c>
      <c r="E59" s="69"/>
      <c r="F59" s="111" t="str">
        <f>HYPERLINK("https://pbs.twimg.com/profile_images/574955679808516097/rQ0pImWc_normal.png")</f>
        <v>https://pbs.twimg.com/profile_images/574955679808516097/rQ0pImWc_normal.png</v>
      </c>
      <c r="G59" s="66"/>
      <c r="H59" s="70" t="s">
        <v>400</v>
      </c>
      <c r="I59" s="71" t="s">
        <v>5830</v>
      </c>
      <c r="J59" s="71" t="s">
        <v>75</v>
      </c>
      <c r="K59" s="70" t="s">
        <v>2356</v>
      </c>
      <c r="L59" s="74">
        <v>1905.3809523809523</v>
      </c>
      <c r="M59" s="75">
        <v>6947.06005859375</v>
      </c>
      <c r="N59" s="75">
        <v>912.9888916015625</v>
      </c>
      <c r="O59" s="76"/>
      <c r="P59" s="77"/>
      <c r="Q59" s="77"/>
      <c r="R59" s="104"/>
      <c r="S59" s="49">
        <v>4</v>
      </c>
      <c r="T59" s="49">
        <v>0</v>
      </c>
      <c r="U59" s="50">
        <v>12</v>
      </c>
      <c r="V59" s="50">
        <v>0.25</v>
      </c>
      <c r="W59" s="50">
        <v>0</v>
      </c>
      <c r="X59" s="50">
        <v>2.378375</v>
      </c>
      <c r="Y59" s="50">
        <v>0</v>
      </c>
      <c r="Z59" s="50">
        <v>0</v>
      </c>
      <c r="AA59" s="72">
        <v>59</v>
      </c>
      <c r="AB59" s="72"/>
      <c r="AC59" s="73"/>
      <c r="AD59" s="89" t="s">
        <v>1532</v>
      </c>
      <c r="AE59" s="102" t="s">
        <v>1353</v>
      </c>
      <c r="AF59" s="89">
        <v>994</v>
      </c>
      <c r="AG59" s="89">
        <v>26709</v>
      </c>
      <c r="AH59" s="89">
        <v>42073</v>
      </c>
      <c r="AI59" s="89">
        <v>87560</v>
      </c>
      <c r="AJ59" s="89"/>
      <c r="AK59" s="89" t="s">
        <v>2014</v>
      </c>
      <c r="AL59" s="89"/>
      <c r="AM59" s="95" t="str">
        <f>HYPERLINK("https://t.co/yz6tIk9iqS")</f>
        <v>https://t.co/yz6tIk9iqS</v>
      </c>
      <c r="AN59" s="89"/>
      <c r="AO59" s="92">
        <v>42072.645416666666</v>
      </c>
      <c r="AP59" s="95" t="str">
        <f>HYPERLINK("https://pbs.twimg.com/profile_banners/3081793421/1425915544")</f>
        <v>https://pbs.twimg.com/profile_banners/3081793421/1425915544</v>
      </c>
      <c r="AQ59" s="89" t="b">
        <v>1</v>
      </c>
      <c r="AR59" s="89" t="b">
        <v>0</v>
      </c>
      <c r="AS59" s="89" t="b">
        <v>0</v>
      </c>
      <c r="AT59" s="89"/>
      <c r="AU59" s="89">
        <v>30</v>
      </c>
      <c r="AV59" s="95" t="str">
        <f>HYPERLINK("https://abs.twimg.com/images/themes/theme1/bg.png")</f>
        <v>https://abs.twimg.com/images/themes/theme1/bg.png</v>
      </c>
      <c r="AW59" s="89" t="b">
        <v>0</v>
      </c>
      <c r="AX59" s="89" t="s">
        <v>2300</v>
      </c>
      <c r="AY59" s="95" t="str">
        <f>HYPERLINK("https://twitter.com/pbyrokraatti")</f>
        <v>https://twitter.com/pbyrokraatti</v>
      </c>
      <c r="AZ59" s="89" t="s">
        <v>65</v>
      </c>
      <c r="BA59" s="89" t="str">
        <f>REPLACE(INDEX(GroupVertices[Group],MATCH(Vertices[[#This Row],[Vertex]],GroupVertices[Vertex],0)),1,1,"")</f>
        <v>12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251</v>
      </c>
      <c r="B60" s="66"/>
      <c r="C60" s="66" t="s">
        <v>46</v>
      </c>
      <c r="D60" s="67"/>
      <c r="E60" s="69"/>
      <c r="F60" s="111" t="str">
        <f>HYPERLINK("https://pbs.twimg.com/profile_images/1459825419553755137/q2X1QUsp_normal.jpg")</f>
        <v>https://pbs.twimg.com/profile_images/1459825419553755137/q2X1QUsp_normal.jpg</v>
      </c>
      <c r="G60" s="66"/>
      <c r="H60" s="70" t="s">
        <v>251</v>
      </c>
      <c r="I60" s="71" t="s">
        <v>5830</v>
      </c>
      <c r="J60" s="71" t="s">
        <v>73</v>
      </c>
      <c r="K60" s="70" t="s">
        <v>2357</v>
      </c>
      <c r="L60" s="74">
        <v>1</v>
      </c>
      <c r="M60" s="75">
        <v>7097.462890625</v>
      </c>
      <c r="N60" s="75">
        <v>234.17576599121094</v>
      </c>
      <c r="O60" s="76"/>
      <c r="P60" s="77"/>
      <c r="Q60" s="77"/>
      <c r="R60" s="104"/>
      <c r="S60" s="49">
        <v>0</v>
      </c>
      <c r="T60" s="49">
        <v>1</v>
      </c>
      <c r="U60" s="50">
        <v>0</v>
      </c>
      <c r="V60" s="50">
        <v>0.142857</v>
      </c>
      <c r="W60" s="50">
        <v>0</v>
      </c>
      <c r="X60" s="50">
        <v>0.655404</v>
      </c>
      <c r="Y60" s="50">
        <v>0</v>
      </c>
      <c r="Z60" s="50">
        <v>0</v>
      </c>
      <c r="AA60" s="72">
        <v>60</v>
      </c>
      <c r="AB60" s="72"/>
      <c r="AC60" s="73"/>
      <c r="AD60" s="89" t="s">
        <v>1533</v>
      </c>
      <c r="AE60" s="102" t="s">
        <v>1810</v>
      </c>
      <c r="AF60" s="89">
        <v>243</v>
      </c>
      <c r="AG60" s="89">
        <v>36</v>
      </c>
      <c r="AH60" s="89">
        <v>844</v>
      </c>
      <c r="AI60" s="89">
        <v>3299</v>
      </c>
      <c r="AJ60" s="89"/>
      <c r="AK60" s="89" t="s">
        <v>2015</v>
      </c>
      <c r="AL60" s="89" t="s">
        <v>2221</v>
      </c>
      <c r="AM60" s="89"/>
      <c r="AN60" s="89"/>
      <c r="AO60" s="92">
        <v>41405.39530092593</v>
      </c>
      <c r="AP60" s="89"/>
      <c r="AQ60" s="89" t="b">
        <v>1</v>
      </c>
      <c r="AR60" s="89" t="b">
        <v>0</v>
      </c>
      <c r="AS60" s="89" t="b">
        <v>0</v>
      </c>
      <c r="AT60" s="89"/>
      <c r="AU60" s="89">
        <v>0</v>
      </c>
      <c r="AV60" s="95" t="str">
        <f>HYPERLINK("https://abs.twimg.com/images/themes/theme1/bg.png")</f>
        <v>https://abs.twimg.com/images/themes/theme1/bg.png</v>
      </c>
      <c r="AW60" s="89" t="b">
        <v>0</v>
      </c>
      <c r="AX60" s="89" t="s">
        <v>2300</v>
      </c>
      <c r="AY60" s="95" t="str">
        <f>HYPERLINK("https://twitter.com/teemual")</f>
        <v>https://twitter.com/teemual</v>
      </c>
      <c r="AZ60" s="89" t="s">
        <v>66</v>
      </c>
      <c r="BA60" s="89" t="str">
        <f>REPLACE(INDEX(GroupVertices[Group],MATCH(Vertices[[#This Row],[Vertex]],GroupVertices[Vertex],0)),1,1,"")</f>
        <v>12</v>
      </c>
      <c r="BB60" s="49">
        <v>0</v>
      </c>
      <c r="BC60" s="50">
        <v>0</v>
      </c>
      <c r="BD60" s="49">
        <v>0</v>
      </c>
      <c r="BE60" s="50">
        <v>0</v>
      </c>
      <c r="BF60" s="49">
        <v>0</v>
      </c>
      <c r="BG60" s="50">
        <v>0</v>
      </c>
      <c r="BH60" s="49">
        <v>14</v>
      </c>
      <c r="BI60" s="50">
        <v>100</v>
      </c>
      <c r="BJ60" s="49">
        <v>14</v>
      </c>
      <c r="BK60" s="49"/>
      <c r="BL60" s="49"/>
      <c r="BM60" s="49"/>
      <c r="BN60" s="49"/>
      <c r="BO60" s="49"/>
      <c r="BP60" s="49"/>
      <c r="BQ60" s="123" t="s">
        <v>5563</v>
      </c>
      <c r="BR60" s="123" t="s">
        <v>5563</v>
      </c>
      <c r="BS60" s="123" t="s">
        <v>5715</v>
      </c>
      <c r="BT60" s="123" t="s">
        <v>5715</v>
      </c>
      <c r="BU60" s="2"/>
      <c r="BV60" s="3"/>
      <c r="BW60" s="3"/>
      <c r="BX60" s="3"/>
      <c r="BY60" s="3"/>
    </row>
    <row r="61" spans="1:77" ht="15">
      <c r="A61" s="65" t="s">
        <v>252</v>
      </c>
      <c r="B61" s="66"/>
      <c r="C61" s="66" t="s">
        <v>46</v>
      </c>
      <c r="D61" s="67"/>
      <c r="E61" s="69"/>
      <c r="F61" s="111" t="str">
        <f>HYPERLINK("https://pbs.twimg.com/profile_images/1349047451982962690/3FU5qqUf_normal.jpg")</f>
        <v>https://pbs.twimg.com/profile_images/1349047451982962690/3FU5qqUf_normal.jpg</v>
      </c>
      <c r="G61" s="66"/>
      <c r="H61" s="70" t="s">
        <v>252</v>
      </c>
      <c r="I61" s="71" t="s">
        <v>5819</v>
      </c>
      <c r="J61" s="71" t="s">
        <v>73</v>
      </c>
      <c r="K61" s="70" t="s">
        <v>2358</v>
      </c>
      <c r="L61" s="74">
        <v>1</v>
      </c>
      <c r="M61" s="75">
        <v>8423.359375</v>
      </c>
      <c r="N61" s="75">
        <v>2851.0029296875</v>
      </c>
      <c r="O61" s="76"/>
      <c r="P61" s="77"/>
      <c r="Q61" s="77"/>
      <c r="R61" s="104"/>
      <c r="S61" s="49">
        <v>0</v>
      </c>
      <c r="T61" s="49">
        <v>1</v>
      </c>
      <c r="U61" s="50">
        <v>0</v>
      </c>
      <c r="V61" s="50">
        <v>1</v>
      </c>
      <c r="W61" s="50">
        <v>0</v>
      </c>
      <c r="X61" s="50">
        <v>0.999998</v>
      </c>
      <c r="Y61" s="50">
        <v>0</v>
      </c>
      <c r="Z61" s="50">
        <v>0</v>
      </c>
      <c r="AA61" s="72">
        <v>61</v>
      </c>
      <c r="AB61" s="72"/>
      <c r="AC61" s="73"/>
      <c r="AD61" s="89" t="s">
        <v>1534</v>
      </c>
      <c r="AE61" s="102" t="s">
        <v>1811</v>
      </c>
      <c r="AF61" s="89">
        <v>1816</v>
      </c>
      <c r="AG61" s="89">
        <v>489</v>
      </c>
      <c r="AH61" s="89">
        <v>10277</v>
      </c>
      <c r="AI61" s="89">
        <v>12277</v>
      </c>
      <c r="AJ61" s="89"/>
      <c r="AK61" s="89" t="s">
        <v>2016</v>
      </c>
      <c r="AL61" s="89"/>
      <c r="AM61" s="95" t="str">
        <f>HYPERLINK("https://t.co/TbFUmjCeuU")</f>
        <v>https://t.co/TbFUmjCeuU</v>
      </c>
      <c r="AN61" s="89"/>
      <c r="AO61" s="92">
        <v>44106.87773148148</v>
      </c>
      <c r="AP61" s="95" t="str">
        <f>HYPERLINK("https://pbs.twimg.com/profile_banners/1312135409372205056/1610472952")</f>
        <v>https://pbs.twimg.com/profile_banners/1312135409372205056/1610472952</v>
      </c>
      <c r="AQ61" s="89" t="b">
        <v>1</v>
      </c>
      <c r="AR61" s="89" t="b">
        <v>0</v>
      </c>
      <c r="AS61" s="89" t="b">
        <v>0</v>
      </c>
      <c r="AT61" s="89"/>
      <c r="AU61" s="89">
        <v>2</v>
      </c>
      <c r="AV61" s="89"/>
      <c r="AW61" s="89" t="b">
        <v>0</v>
      </c>
      <c r="AX61" s="89" t="s">
        <v>2300</v>
      </c>
      <c r="AY61" s="95" t="str">
        <f>HYPERLINK("https://twitter.com/petri_pellinen")</f>
        <v>https://twitter.com/petri_pellinen</v>
      </c>
      <c r="AZ61" s="89" t="s">
        <v>66</v>
      </c>
      <c r="BA61" s="89" t="str">
        <f>REPLACE(INDEX(GroupVertices[Group],MATCH(Vertices[[#This Row],[Vertex]],GroupVertices[Vertex],0)),1,1,"")</f>
        <v>26</v>
      </c>
      <c r="BB61" s="49">
        <v>0</v>
      </c>
      <c r="BC61" s="50">
        <v>0</v>
      </c>
      <c r="BD61" s="49">
        <v>0</v>
      </c>
      <c r="BE61" s="50">
        <v>0</v>
      </c>
      <c r="BF61" s="49">
        <v>0</v>
      </c>
      <c r="BG61" s="50">
        <v>0</v>
      </c>
      <c r="BH61" s="49">
        <v>28</v>
      </c>
      <c r="BI61" s="50">
        <v>100</v>
      </c>
      <c r="BJ61" s="49">
        <v>28</v>
      </c>
      <c r="BK61" s="49"/>
      <c r="BL61" s="49"/>
      <c r="BM61" s="49"/>
      <c r="BN61" s="49"/>
      <c r="BO61" s="49"/>
      <c r="BP61" s="49"/>
      <c r="BQ61" s="123" t="s">
        <v>5564</v>
      </c>
      <c r="BR61" s="123" t="s">
        <v>5564</v>
      </c>
      <c r="BS61" s="123" t="s">
        <v>5716</v>
      </c>
      <c r="BT61" s="123" t="s">
        <v>5716</v>
      </c>
      <c r="BU61" s="2"/>
      <c r="BV61" s="3"/>
      <c r="BW61" s="3"/>
      <c r="BX61" s="3"/>
      <c r="BY61" s="3"/>
    </row>
    <row r="62" spans="1:77" ht="15">
      <c r="A62" s="65" t="s">
        <v>401</v>
      </c>
      <c r="B62" s="66"/>
      <c r="C62" s="66" t="s">
        <v>46</v>
      </c>
      <c r="D62" s="67">
        <v>10</v>
      </c>
      <c r="E62" s="69"/>
      <c r="F62" s="111" t="str">
        <f>HYPERLINK("https://pbs.twimg.com/profile_images/1455486620514275333/Bj3QQ_Xj_normal.jpg")</f>
        <v>https://pbs.twimg.com/profile_images/1455486620514275333/Bj3QQ_Xj_normal.jpg</v>
      </c>
      <c r="G62" s="66"/>
      <c r="H62" s="70" t="s">
        <v>401</v>
      </c>
      <c r="I62" s="71" t="s">
        <v>5819</v>
      </c>
      <c r="J62" s="71" t="s">
        <v>75</v>
      </c>
      <c r="K62" s="70" t="s">
        <v>2359</v>
      </c>
      <c r="L62" s="74">
        <v>477.0952380952381</v>
      </c>
      <c r="M62" s="75">
        <v>8423.359375</v>
      </c>
      <c r="N62" s="75">
        <v>2464.624755859375</v>
      </c>
      <c r="O62" s="76"/>
      <c r="P62" s="77"/>
      <c r="Q62" s="77"/>
      <c r="R62" s="104"/>
      <c r="S62" s="49">
        <v>1</v>
      </c>
      <c r="T62" s="49">
        <v>0</v>
      </c>
      <c r="U62" s="50">
        <v>0</v>
      </c>
      <c r="V62" s="50">
        <v>1</v>
      </c>
      <c r="W62" s="50">
        <v>0</v>
      </c>
      <c r="X62" s="50">
        <v>0.999998</v>
      </c>
      <c r="Y62" s="50">
        <v>0</v>
      </c>
      <c r="Z62" s="50">
        <v>0</v>
      </c>
      <c r="AA62" s="72">
        <v>62</v>
      </c>
      <c r="AB62" s="72"/>
      <c r="AC62" s="73"/>
      <c r="AD62" s="89" t="s">
        <v>1535</v>
      </c>
      <c r="AE62" s="102" t="s">
        <v>1354</v>
      </c>
      <c r="AF62" s="89">
        <v>16</v>
      </c>
      <c r="AG62" s="89">
        <v>79</v>
      </c>
      <c r="AH62" s="89">
        <v>86</v>
      </c>
      <c r="AI62" s="89">
        <v>9</v>
      </c>
      <c r="AJ62" s="89"/>
      <c r="AK62" s="89" t="s">
        <v>2017</v>
      </c>
      <c r="AL62" s="89"/>
      <c r="AM62" s="95" t="str">
        <f>HYPERLINK("https://t.co/tKtXuFdmBf")</f>
        <v>https://t.co/tKtXuFdmBf</v>
      </c>
      <c r="AN62" s="89"/>
      <c r="AO62" s="92">
        <v>44493.50921296296</v>
      </c>
      <c r="AP62" s="95" t="str">
        <f>HYPERLINK("https://pbs.twimg.com/profile_banners/1452246744859922442/1635851835")</f>
        <v>https://pbs.twimg.com/profile_banners/1452246744859922442/1635851835</v>
      </c>
      <c r="AQ62" s="89" t="b">
        <v>1</v>
      </c>
      <c r="AR62" s="89" t="b">
        <v>0</v>
      </c>
      <c r="AS62" s="89" t="b">
        <v>0</v>
      </c>
      <c r="AT62" s="89"/>
      <c r="AU62" s="89">
        <v>0</v>
      </c>
      <c r="AV62" s="89"/>
      <c r="AW62" s="89" t="b">
        <v>0</v>
      </c>
      <c r="AX62" s="89" t="s">
        <v>2300</v>
      </c>
      <c r="AY62" s="95" t="str">
        <f>HYPERLINK("https://twitter.com/samiantinniemi")</f>
        <v>https://twitter.com/samiantinniemi</v>
      </c>
      <c r="AZ62" s="89" t="s">
        <v>65</v>
      </c>
      <c r="BA62" s="89" t="str">
        <f>REPLACE(INDEX(GroupVertices[Group],MATCH(Vertices[[#This Row],[Vertex]],GroupVertices[Vertex],0)),1,1,"")</f>
        <v>26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253</v>
      </c>
      <c r="B63" s="66"/>
      <c r="C63" s="66" t="s">
        <v>46</v>
      </c>
      <c r="D63" s="67"/>
      <c r="E63" s="69"/>
      <c r="F63" s="111" t="str">
        <f>HYPERLINK("https://pbs.twimg.com/profile_images/1309132938022465536/vxOnnwwC_normal.jpg")</f>
        <v>https://pbs.twimg.com/profile_images/1309132938022465536/vxOnnwwC_normal.jpg</v>
      </c>
      <c r="G63" s="66"/>
      <c r="H63" s="70" t="s">
        <v>253</v>
      </c>
      <c r="I63" s="71" t="s">
        <v>5830</v>
      </c>
      <c r="J63" s="71" t="s">
        <v>73</v>
      </c>
      <c r="K63" s="70" t="s">
        <v>2360</v>
      </c>
      <c r="L63" s="74">
        <v>1</v>
      </c>
      <c r="M63" s="75">
        <v>7392.87353515625</v>
      </c>
      <c r="N63" s="75">
        <v>1141.85498046875</v>
      </c>
      <c r="O63" s="76"/>
      <c r="P63" s="77"/>
      <c r="Q63" s="77"/>
      <c r="R63" s="104"/>
      <c r="S63" s="49">
        <v>0</v>
      </c>
      <c r="T63" s="49">
        <v>1</v>
      </c>
      <c r="U63" s="50">
        <v>0</v>
      </c>
      <c r="V63" s="50">
        <v>0.142857</v>
      </c>
      <c r="W63" s="50">
        <v>0</v>
      </c>
      <c r="X63" s="50">
        <v>0.655404</v>
      </c>
      <c r="Y63" s="50">
        <v>0</v>
      </c>
      <c r="Z63" s="50">
        <v>0</v>
      </c>
      <c r="AA63" s="72">
        <v>63</v>
      </c>
      <c r="AB63" s="72"/>
      <c r="AC63" s="73"/>
      <c r="AD63" s="89" t="s">
        <v>1536</v>
      </c>
      <c r="AE63" s="102" t="s">
        <v>1812</v>
      </c>
      <c r="AF63" s="89">
        <v>2213</v>
      </c>
      <c r="AG63" s="89">
        <v>891</v>
      </c>
      <c r="AH63" s="89">
        <v>49996</v>
      </c>
      <c r="AI63" s="89">
        <v>67010</v>
      </c>
      <c r="AJ63" s="89"/>
      <c r="AK63" s="89" t="s">
        <v>2018</v>
      </c>
      <c r="AL63" s="89" t="s">
        <v>2223</v>
      </c>
      <c r="AM63" s="95" t="str">
        <f>HYPERLINK("https://t.co/URYhZTXBYj")</f>
        <v>https://t.co/URYhZTXBYj</v>
      </c>
      <c r="AN63" s="89"/>
      <c r="AO63" s="92">
        <v>39795.92616898148</v>
      </c>
      <c r="AP63" s="89"/>
      <c r="AQ63" s="89" t="b">
        <v>0</v>
      </c>
      <c r="AR63" s="89" t="b">
        <v>0</v>
      </c>
      <c r="AS63" s="89" t="b">
        <v>0</v>
      </c>
      <c r="AT63" s="89"/>
      <c r="AU63" s="89">
        <v>190</v>
      </c>
      <c r="AV63" s="95" t="str">
        <f>HYPERLINK("https://abs.twimg.com/images/themes/theme9/bg.gif")</f>
        <v>https://abs.twimg.com/images/themes/theme9/bg.gif</v>
      </c>
      <c r="AW63" s="89" t="b">
        <v>0</v>
      </c>
      <c r="AX63" s="89" t="s">
        <v>2300</v>
      </c>
      <c r="AY63" s="95" t="str">
        <f>HYPERLINK("https://twitter.com/ambyr00")</f>
        <v>https://twitter.com/ambyr00</v>
      </c>
      <c r="AZ63" s="89" t="s">
        <v>66</v>
      </c>
      <c r="BA63" s="89" t="str">
        <f>REPLACE(INDEX(GroupVertices[Group],MATCH(Vertices[[#This Row],[Vertex]],GroupVertices[Vertex],0)),1,1,"")</f>
        <v>12</v>
      </c>
      <c r="BB63" s="49">
        <v>0</v>
      </c>
      <c r="BC63" s="50">
        <v>0</v>
      </c>
      <c r="BD63" s="49">
        <v>0</v>
      </c>
      <c r="BE63" s="50">
        <v>0</v>
      </c>
      <c r="BF63" s="49">
        <v>0</v>
      </c>
      <c r="BG63" s="50">
        <v>0</v>
      </c>
      <c r="BH63" s="49">
        <v>35</v>
      </c>
      <c r="BI63" s="50">
        <v>100</v>
      </c>
      <c r="BJ63" s="49">
        <v>35</v>
      </c>
      <c r="BK63" s="49"/>
      <c r="BL63" s="49"/>
      <c r="BM63" s="49"/>
      <c r="BN63" s="49"/>
      <c r="BO63" s="49"/>
      <c r="BP63" s="49"/>
      <c r="BQ63" s="123" t="s">
        <v>5565</v>
      </c>
      <c r="BR63" s="123" t="s">
        <v>5565</v>
      </c>
      <c r="BS63" s="123" t="s">
        <v>5717</v>
      </c>
      <c r="BT63" s="123" t="s">
        <v>5717</v>
      </c>
      <c r="BU63" s="2"/>
      <c r="BV63" s="3"/>
      <c r="BW63" s="3"/>
      <c r="BX63" s="3"/>
      <c r="BY63" s="3"/>
    </row>
    <row r="64" spans="1:77" ht="15">
      <c r="A64" s="65" t="s">
        <v>254</v>
      </c>
      <c r="B64" s="66"/>
      <c r="C64" s="66" t="s">
        <v>46</v>
      </c>
      <c r="D64" s="67"/>
      <c r="E64" s="69"/>
      <c r="F64" s="111" t="str">
        <f>HYPERLINK("https://pbs.twimg.com/profile_images/1450300839051120640/PT4ggYXY_normal.jpg")</f>
        <v>https://pbs.twimg.com/profile_images/1450300839051120640/PT4ggYXY_normal.jpg</v>
      </c>
      <c r="G64" s="66"/>
      <c r="H64" s="70" t="s">
        <v>254</v>
      </c>
      <c r="I64" s="71" t="s">
        <v>5818</v>
      </c>
      <c r="J64" s="71" t="s">
        <v>73</v>
      </c>
      <c r="K64" s="70" t="s">
        <v>2361</v>
      </c>
      <c r="L64" s="74">
        <v>1</v>
      </c>
      <c r="M64" s="75">
        <v>1119.2860107421875</v>
      </c>
      <c r="N64" s="75">
        <v>7523.93115234375</v>
      </c>
      <c r="O64" s="76"/>
      <c r="P64" s="77"/>
      <c r="Q64" s="77"/>
      <c r="R64" s="104"/>
      <c r="S64" s="49">
        <v>0</v>
      </c>
      <c r="T64" s="49">
        <v>3</v>
      </c>
      <c r="U64" s="50">
        <v>1029.990972</v>
      </c>
      <c r="V64" s="50">
        <v>0.000991</v>
      </c>
      <c r="W64" s="50">
        <v>0.003826</v>
      </c>
      <c r="X64" s="50">
        <v>1.024787</v>
      </c>
      <c r="Y64" s="50">
        <v>0</v>
      </c>
      <c r="Z64" s="50">
        <v>0</v>
      </c>
      <c r="AA64" s="72">
        <v>64</v>
      </c>
      <c r="AB64" s="72"/>
      <c r="AC64" s="73"/>
      <c r="AD64" s="89" t="s">
        <v>1537</v>
      </c>
      <c r="AE64" s="102" t="s">
        <v>1813</v>
      </c>
      <c r="AF64" s="89">
        <v>588</v>
      </c>
      <c r="AG64" s="89">
        <v>401</v>
      </c>
      <c r="AH64" s="89">
        <v>11196</v>
      </c>
      <c r="AI64" s="89">
        <v>31654</v>
      </c>
      <c r="AJ64" s="89"/>
      <c r="AK64" s="89" t="s">
        <v>2019</v>
      </c>
      <c r="AL64" s="89" t="s">
        <v>2235</v>
      </c>
      <c r="AM64" s="89"/>
      <c r="AN64" s="89"/>
      <c r="AO64" s="92">
        <v>43542.49314814815</v>
      </c>
      <c r="AP64" s="89"/>
      <c r="AQ64" s="89" t="b">
        <v>1</v>
      </c>
      <c r="AR64" s="89" t="b">
        <v>0</v>
      </c>
      <c r="AS64" s="89" t="b">
        <v>0</v>
      </c>
      <c r="AT64" s="89"/>
      <c r="AU64" s="89">
        <v>3</v>
      </c>
      <c r="AV64" s="89"/>
      <c r="AW64" s="89" t="b">
        <v>0</v>
      </c>
      <c r="AX64" s="89" t="s">
        <v>2300</v>
      </c>
      <c r="AY64" s="95" t="str">
        <f>HYPERLINK("https://twitter.com/vihameemipolice")</f>
        <v>https://twitter.com/vihameemipolice</v>
      </c>
      <c r="AZ64" s="89" t="s">
        <v>66</v>
      </c>
      <c r="BA64" s="89" t="str">
        <f>REPLACE(INDEX(GroupVertices[Group],MATCH(Vertices[[#This Row],[Vertex]],GroupVertices[Vertex],0)),1,1,"")</f>
        <v>1</v>
      </c>
      <c r="BB64" s="49">
        <v>0</v>
      </c>
      <c r="BC64" s="50">
        <v>0</v>
      </c>
      <c r="BD64" s="49">
        <v>0</v>
      </c>
      <c r="BE64" s="50">
        <v>0</v>
      </c>
      <c r="BF64" s="49">
        <v>0</v>
      </c>
      <c r="BG64" s="50">
        <v>0</v>
      </c>
      <c r="BH64" s="49">
        <v>28</v>
      </c>
      <c r="BI64" s="50">
        <v>100</v>
      </c>
      <c r="BJ64" s="49">
        <v>28</v>
      </c>
      <c r="BK64" s="49"/>
      <c r="BL64" s="49"/>
      <c r="BM64" s="49"/>
      <c r="BN64" s="49"/>
      <c r="BO64" s="49"/>
      <c r="BP64" s="49"/>
      <c r="BQ64" s="123" t="s">
        <v>5566</v>
      </c>
      <c r="BR64" s="123" t="s">
        <v>5566</v>
      </c>
      <c r="BS64" s="123" t="s">
        <v>5718</v>
      </c>
      <c r="BT64" s="123" t="s">
        <v>5718</v>
      </c>
      <c r="BU64" s="2"/>
      <c r="BV64" s="3"/>
      <c r="BW64" s="3"/>
      <c r="BX64" s="3"/>
      <c r="BY64" s="3"/>
    </row>
    <row r="65" spans="1:77" ht="15">
      <c r="A65" s="65" t="s">
        <v>402</v>
      </c>
      <c r="B65" s="66"/>
      <c r="C65" s="66" t="s">
        <v>46</v>
      </c>
      <c r="D65" s="67">
        <v>10</v>
      </c>
      <c r="E65" s="69"/>
      <c r="F65" s="111" t="str">
        <f>HYPERLINK("https://pbs.twimg.com/profile_images/1206135097361141760/nnECpdZI_normal.jpg")</f>
        <v>https://pbs.twimg.com/profile_images/1206135097361141760/nnECpdZI_normal.jpg</v>
      </c>
      <c r="G65" s="66"/>
      <c r="H65" s="70" t="s">
        <v>402</v>
      </c>
      <c r="I65" s="71" t="s">
        <v>5818</v>
      </c>
      <c r="J65" s="71" t="s">
        <v>75</v>
      </c>
      <c r="K65" s="70" t="s">
        <v>2362</v>
      </c>
      <c r="L65" s="74">
        <v>477.0952380952381</v>
      </c>
      <c r="M65" s="75">
        <v>611.3505859375</v>
      </c>
      <c r="N65" s="75">
        <v>8078.03271484375</v>
      </c>
      <c r="O65" s="76"/>
      <c r="P65" s="77"/>
      <c r="Q65" s="77"/>
      <c r="R65" s="104"/>
      <c r="S65" s="49">
        <v>1</v>
      </c>
      <c r="T65" s="49">
        <v>0</v>
      </c>
      <c r="U65" s="50">
        <v>0</v>
      </c>
      <c r="V65" s="50">
        <v>0.000798</v>
      </c>
      <c r="W65" s="50">
        <v>0.000446</v>
      </c>
      <c r="X65" s="50">
        <v>0.440356</v>
      </c>
      <c r="Y65" s="50">
        <v>0</v>
      </c>
      <c r="Z65" s="50">
        <v>0</v>
      </c>
      <c r="AA65" s="72">
        <v>65</v>
      </c>
      <c r="AB65" s="72"/>
      <c r="AC65" s="73"/>
      <c r="AD65" s="89" t="s">
        <v>1538</v>
      </c>
      <c r="AE65" s="102" t="s">
        <v>1814</v>
      </c>
      <c r="AF65" s="89">
        <v>492</v>
      </c>
      <c r="AG65" s="89">
        <v>318</v>
      </c>
      <c r="AH65" s="89">
        <v>10492</v>
      </c>
      <c r="AI65" s="89">
        <v>11610</v>
      </c>
      <c r="AJ65" s="89"/>
      <c r="AK65" s="89" t="s">
        <v>2020</v>
      </c>
      <c r="AL65" s="89"/>
      <c r="AM65" s="89"/>
      <c r="AN65" s="89"/>
      <c r="AO65" s="92">
        <v>42376.379699074074</v>
      </c>
      <c r="AP65" s="89"/>
      <c r="AQ65" s="89" t="b">
        <v>1</v>
      </c>
      <c r="AR65" s="89" t="b">
        <v>0</v>
      </c>
      <c r="AS65" s="89" t="b">
        <v>0</v>
      </c>
      <c r="AT65" s="89"/>
      <c r="AU65" s="89">
        <v>3</v>
      </c>
      <c r="AV65" s="89"/>
      <c r="AW65" s="89" t="b">
        <v>0</v>
      </c>
      <c r="AX65" s="89" t="s">
        <v>2300</v>
      </c>
      <c r="AY65" s="95" t="str">
        <f>HYPERLINK("https://twitter.com/shhsami")</f>
        <v>https://twitter.com/shhsami</v>
      </c>
      <c r="AZ65" s="89" t="s">
        <v>65</v>
      </c>
      <c r="BA65" s="8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301</v>
      </c>
      <c r="B66" s="66"/>
      <c r="C66" s="66" t="s">
        <v>64</v>
      </c>
      <c r="D66" s="67">
        <v>392.9842791621962</v>
      </c>
      <c r="E66" s="69"/>
      <c r="F66" s="111" t="str">
        <f>HYPERLINK("https://pbs.twimg.com/profile_images/1446487229216567301/mV_Xb8Yv_normal.jpg")</f>
        <v>https://pbs.twimg.com/profile_images/1446487229216567301/mV_Xb8Yv_normal.jpg</v>
      </c>
      <c r="G66" s="66"/>
      <c r="H66" s="70" t="s">
        <v>301</v>
      </c>
      <c r="I66" s="71" t="s">
        <v>5818</v>
      </c>
      <c r="J66" s="71" t="s">
        <v>73</v>
      </c>
      <c r="K66" s="70" t="s">
        <v>2363</v>
      </c>
      <c r="L66" s="74">
        <v>953.1904761904761</v>
      </c>
      <c r="M66" s="75">
        <v>1523.40869140625</v>
      </c>
      <c r="N66" s="75">
        <v>8517.25390625</v>
      </c>
      <c r="O66" s="76"/>
      <c r="P66" s="77"/>
      <c r="Q66" s="77"/>
      <c r="R66" s="104"/>
      <c r="S66" s="49">
        <v>2</v>
      </c>
      <c r="T66" s="49">
        <v>5</v>
      </c>
      <c r="U66" s="50">
        <v>1264.445667</v>
      </c>
      <c r="V66" s="50">
        <v>0.000948</v>
      </c>
      <c r="W66" s="50">
        <v>0.001248</v>
      </c>
      <c r="X66" s="50">
        <v>1.801958</v>
      </c>
      <c r="Y66" s="50">
        <v>0.1</v>
      </c>
      <c r="Z66" s="50">
        <v>0.16666666666666666</v>
      </c>
      <c r="AA66" s="72">
        <v>66</v>
      </c>
      <c r="AB66" s="72"/>
      <c r="AC66" s="73"/>
      <c r="AD66" s="89" t="s">
        <v>1539</v>
      </c>
      <c r="AE66" s="102" t="s">
        <v>1355</v>
      </c>
      <c r="AF66" s="89">
        <v>85</v>
      </c>
      <c r="AG66" s="89">
        <v>36</v>
      </c>
      <c r="AH66" s="89">
        <v>1413</v>
      </c>
      <c r="AI66" s="89">
        <v>964</v>
      </c>
      <c r="AJ66" s="89"/>
      <c r="AK66" s="89"/>
      <c r="AL66" s="89"/>
      <c r="AM66" s="89"/>
      <c r="AN66" s="89"/>
      <c r="AO66" s="92">
        <v>44473.68686342592</v>
      </c>
      <c r="AP66" s="89"/>
      <c r="AQ66" s="89" t="b">
        <v>1</v>
      </c>
      <c r="AR66" s="89" t="b">
        <v>0</v>
      </c>
      <c r="AS66" s="89" t="b">
        <v>0</v>
      </c>
      <c r="AT66" s="89"/>
      <c r="AU66" s="89">
        <v>0</v>
      </c>
      <c r="AV66" s="89"/>
      <c r="AW66" s="89" t="b">
        <v>0</v>
      </c>
      <c r="AX66" s="89" t="s">
        <v>2300</v>
      </c>
      <c r="AY66" s="95" t="str">
        <f>HYPERLINK("https://twitter.com/tmhirvi")</f>
        <v>https://twitter.com/tmhirvi</v>
      </c>
      <c r="AZ66" s="89" t="s">
        <v>66</v>
      </c>
      <c r="BA66" s="89" t="str">
        <f>REPLACE(INDEX(GroupVertices[Group],MATCH(Vertices[[#This Row],[Vertex]],GroupVertices[Vertex],0)),1,1,"")</f>
        <v>1</v>
      </c>
      <c r="BB66" s="49">
        <v>0</v>
      </c>
      <c r="BC66" s="50">
        <v>0</v>
      </c>
      <c r="BD66" s="49">
        <v>0</v>
      </c>
      <c r="BE66" s="50">
        <v>0</v>
      </c>
      <c r="BF66" s="49">
        <v>0</v>
      </c>
      <c r="BG66" s="50">
        <v>0</v>
      </c>
      <c r="BH66" s="49">
        <v>89</v>
      </c>
      <c r="BI66" s="50">
        <v>100</v>
      </c>
      <c r="BJ66" s="49">
        <v>89</v>
      </c>
      <c r="BK66" s="49" t="s">
        <v>5202</v>
      </c>
      <c r="BL66" s="49" t="s">
        <v>5202</v>
      </c>
      <c r="BM66" s="49" t="s">
        <v>701</v>
      </c>
      <c r="BN66" s="49" t="s">
        <v>701</v>
      </c>
      <c r="BO66" s="49"/>
      <c r="BP66" s="49"/>
      <c r="BQ66" s="123" t="s">
        <v>5567</v>
      </c>
      <c r="BR66" s="123" t="s">
        <v>5658</v>
      </c>
      <c r="BS66" s="123" t="s">
        <v>5719</v>
      </c>
      <c r="BT66" s="123" t="s">
        <v>5803</v>
      </c>
      <c r="BU66" s="2"/>
      <c r="BV66" s="3"/>
      <c r="BW66" s="3"/>
      <c r="BX66" s="3"/>
      <c r="BY66" s="3"/>
    </row>
    <row r="67" spans="1:77" ht="15">
      <c r="A67" s="65" t="s">
        <v>255</v>
      </c>
      <c r="B67" s="66"/>
      <c r="C67" s="66" t="s">
        <v>46</v>
      </c>
      <c r="D67" s="67"/>
      <c r="E67" s="69"/>
      <c r="F67" s="111" t="str">
        <f>HYPERLINK("https://abs.twimg.com/sticky/default_profile_images/default_profile_normal.png")</f>
        <v>https://abs.twimg.com/sticky/default_profile_images/default_profile_normal.png</v>
      </c>
      <c r="G67" s="66"/>
      <c r="H67" s="70" t="s">
        <v>255</v>
      </c>
      <c r="I67" s="71" t="s">
        <v>5825</v>
      </c>
      <c r="J67" s="71" t="s">
        <v>73</v>
      </c>
      <c r="K67" s="70" t="s">
        <v>2364</v>
      </c>
      <c r="L67" s="74">
        <v>1</v>
      </c>
      <c r="M67" s="75">
        <v>8870.76953125</v>
      </c>
      <c r="N67" s="75">
        <v>7999.4453125</v>
      </c>
      <c r="O67" s="76"/>
      <c r="P67" s="77"/>
      <c r="Q67" s="77"/>
      <c r="R67" s="104"/>
      <c r="S67" s="49">
        <v>0</v>
      </c>
      <c r="T67" s="49">
        <v>2</v>
      </c>
      <c r="U67" s="50">
        <v>488</v>
      </c>
      <c r="V67" s="50">
        <v>0.000763</v>
      </c>
      <c r="W67" s="50">
        <v>0.000669</v>
      </c>
      <c r="X67" s="50">
        <v>0.895929</v>
      </c>
      <c r="Y67" s="50">
        <v>0</v>
      </c>
      <c r="Z67" s="50">
        <v>0</v>
      </c>
      <c r="AA67" s="72">
        <v>67</v>
      </c>
      <c r="AB67" s="72"/>
      <c r="AC67" s="73"/>
      <c r="AD67" s="89" t="s">
        <v>1540</v>
      </c>
      <c r="AE67" s="102" t="s">
        <v>1815</v>
      </c>
      <c r="AF67" s="89">
        <v>11</v>
      </c>
      <c r="AG67" s="89">
        <v>5</v>
      </c>
      <c r="AH67" s="89">
        <v>56</v>
      </c>
      <c r="AI67" s="89">
        <v>1035</v>
      </c>
      <c r="AJ67" s="89"/>
      <c r="AK67" s="89"/>
      <c r="AL67" s="89"/>
      <c r="AM67" s="89"/>
      <c r="AN67" s="89"/>
      <c r="AO67" s="92">
        <v>44310.32871527778</v>
      </c>
      <c r="AP67" s="89"/>
      <c r="AQ67" s="89" t="b">
        <v>1</v>
      </c>
      <c r="AR67" s="89" t="b">
        <v>1</v>
      </c>
      <c r="AS67" s="89" t="b">
        <v>0</v>
      </c>
      <c r="AT67" s="89"/>
      <c r="AU67" s="89">
        <v>0</v>
      </c>
      <c r="AV67" s="89"/>
      <c r="AW67" s="89" t="b">
        <v>0</v>
      </c>
      <c r="AX67" s="89" t="s">
        <v>2300</v>
      </c>
      <c r="AY67" s="95" t="str">
        <f>HYPERLINK("https://twitter.com/porkka_pekka")</f>
        <v>https://twitter.com/porkka_pekka</v>
      </c>
      <c r="AZ67" s="89" t="s">
        <v>66</v>
      </c>
      <c r="BA67" s="89" t="str">
        <f>REPLACE(INDEX(GroupVertices[Group],MATCH(Vertices[[#This Row],[Vertex]],GroupVertices[Vertex],0)),1,1,"")</f>
        <v>6</v>
      </c>
      <c r="BB67" s="49">
        <v>0</v>
      </c>
      <c r="BC67" s="50">
        <v>0</v>
      </c>
      <c r="BD67" s="49">
        <v>0</v>
      </c>
      <c r="BE67" s="50">
        <v>0</v>
      </c>
      <c r="BF67" s="49">
        <v>0</v>
      </c>
      <c r="BG67" s="50">
        <v>0</v>
      </c>
      <c r="BH67" s="49">
        <v>14</v>
      </c>
      <c r="BI67" s="50">
        <v>100</v>
      </c>
      <c r="BJ67" s="49">
        <v>14</v>
      </c>
      <c r="BK67" s="49"/>
      <c r="BL67" s="49"/>
      <c r="BM67" s="49"/>
      <c r="BN67" s="49"/>
      <c r="BO67" s="49"/>
      <c r="BP67" s="49"/>
      <c r="BQ67" s="123" t="s">
        <v>5568</v>
      </c>
      <c r="BR67" s="123" t="s">
        <v>5568</v>
      </c>
      <c r="BS67" s="123" t="s">
        <v>5720</v>
      </c>
      <c r="BT67" s="123" t="s">
        <v>5720</v>
      </c>
      <c r="BU67" s="2"/>
      <c r="BV67" s="3"/>
      <c r="BW67" s="3"/>
      <c r="BX67" s="3"/>
      <c r="BY67" s="3"/>
    </row>
    <row r="68" spans="1:77" ht="15">
      <c r="A68" s="65" t="s">
        <v>403</v>
      </c>
      <c r="B68" s="66"/>
      <c r="C68" s="66" t="s">
        <v>46</v>
      </c>
      <c r="D68" s="67">
        <v>10</v>
      </c>
      <c r="E68" s="69"/>
      <c r="F68" s="111" t="str">
        <f>HYPERLINK("https://pbs.twimg.com/profile_images/601140704354693121/U54lOG2t_normal.jpg")</f>
        <v>https://pbs.twimg.com/profile_images/601140704354693121/U54lOG2t_normal.jpg</v>
      </c>
      <c r="G68" s="66"/>
      <c r="H68" s="70" t="s">
        <v>403</v>
      </c>
      <c r="I68" s="71" t="s">
        <v>5825</v>
      </c>
      <c r="J68" s="71" t="s">
        <v>75</v>
      </c>
      <c r="K68" s="70" t="s">
        <v>2365</v>
      </c>
      <c r="L68" s="74">
        <v>477.0952380952381</v>
      </c>
      <c r="M68" s="75">
        <v>8673.5673828125</v>
      </c>
      <c r="N68" s="75">
        <v>8524.93359375</v>
      </c>
      <c r="O68" s="76"/>
      <c r="P68" s="77"/>
      <c r="Q68" s="77"/>
      <c r="R68" s="104"/>
      <c r="S68" s="49">
        <v>1</v>
      </c>
      <c r="T68" s="49">
        <v>0</v>
      </c>
      <c r="U68" s="50">
        <v>0</v>
      </c>
      <c r="V68" s="50">
        <v>0.000643</v>
      </c>
      <c r="W68" s="50">
        <v>7.8E-05</v>
      </c>
      <c r="X68" s="50">
        <v>0.53077</v>
      </c>
      <c r="Y68" s="50">
        <v>0</v>
      </c>
      <c r="Z68" s="50">
        <v>0</v>
      </c>
      <c r="AA68" s="72">
        <v>68</v>
      </c>
      <c r="AB68" s="72"/>
      <c r="AC68" s="73"/>
      <c r="AD68" s="89" t="s">
        <v>1541</v>
      </c>
      <c r="AE68" s="102" t="s">
        <v>1356</v>
      </c>
      <c r="AF68" s="89">
        <v>5000</v>
      </c>
      <c r="AG68" s="89">
        <v>1678</v>
      </c>
      <c r="AH68" s="89">
        <v>42976</v>
      </c>
      <c r="AI68" s="89">
        <v>77148</v>
      </c>
      <c r="AJ68" s="89"/>
      <c r="AK68" s="89" t="s">
        <v>2021</v>
      </c>
      <c r="AL68" s="89" t="s">
        <v>2236</v>
      </c>
      <c r="AM68" s="95" t="str">
        <f>HYPERLINK("https://t.co/d0pXiM8gLJ")</f>
        <v>https://t.co/d0pXiM8gLJ</v>
      </c>
      <c r="AN68" s="89"/>
      <c r="AO68" s="92">
        <v>40422.945625</v>
      </c>
      <c r="AP68" s="95" t="str">
        <f>HYPERLINK("https://pbs.twimg.com/profile_banners/185821367/1615729417")</f>
        <v>https://pbs.twimg.com/profile_banners/185821367/1615729417</v>
      </c>
      <c r="AQ68" s="89" t="b">
        <v>0</v>
      </c>
      <c r="AR68" s="89" t="b">
        <v>0</v>
      </c>
      <c r="AS68" s="89" t="b">
        <v>1</v>
      </c>
      <c r="AT68" s="89"/>
      <c r="AU68" s="89">
        <v>55</v>
      </c>
      <c r="AV68" s="95" t="str">
        <f>HYPERLINK("https://abs.twimg.com/images/themes/theme1/bg.png")</f>
        <v>https://abs.twimg.com/images/themes/theme1/bg.png</v>
      </c>
      <c r="AW68" s="89" t="b">
        <v>0</v>
      </c>
      <c r="AX68" s="89" t="s">
        <v>2300</v>
      </c>
      <c r="AY68" s="95" t="str">
        <f>HYPERLINK("https://twitter.com/sebastianmaki")</f>
        <v>https://twitter.com/sebastianmaki</v>
      </c>
      <c r="AZ68" s="89" t="s">
        <v>65</v>
      </c>
      <c r="BA68" s="89"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256</v>
      </c>
      <c r="B69" s="66"/>
      <c r="C69" s="66" t="s">
        <v>46</v>
      </c>
      <c r="D69" s="67"/>
      <c r="E69" s="69"/>
      <c r="F69" s="111" t="str">
        <f>HYPERLINK("https://abs.twimg.com/sticky/default_profile_images/default_profile_normal.png")</f>
        <v>https://abs.twimg.com/sticky/default_profile_images/default_profile_normal.png</v>
      </c>
      <c r="G69" s="66"/>
      <c r="H69" s="70" t="s">
        <v>256</v>
      </c>
      <c r="I69" s="71" t="s">
        <v>5827</v>
      </c>
      <c r="J69" s="71" t="s">
        <v>73</v>
      </c>
      <c r="K69" s="70" t="s">
        <v>2366</v>
      </c>
      <c r="L69" s="74">
        <v>1</v>
      </c>
      <c r="M69" s="75">
        <v>5888.56982421875</v>
      </c>
      <c r="N69" s="75">
        <v>916.023193359375</v>
      </c>
      <c r="O69" s="76"/>
      <c r="P69" s="77"/>
      <c r="Q69" s="77"/>
      <c r="R69" s="104"/>
      <c r="S69" s="49">
        <v>0</v>
      </c>
      <c r="T69" s="49">
        <v>3</v>
      </c>
      <c r="U69" s="50">
        <v>4065.913401</v>
      </c>
      <c r="V69" s="50">
        <v>0.000916</v>
      </c>
      <c r="W69" s="50">
        <v>0.00046</v>
      </c>
      <c r="X69" s="50">
        <v>1.002838</v>
      </c>
      <c r="Y69" s="50">
        <v>0</v>
      </c>
      <c r="Z69" s="50">
        <v>0</v>
      </c>
      <c r="AA69" s="72">
        <v>69</v>
      </c>
      <c r="AB69" s="72"/>
      <c r="AC69" s="73"/>
      <c r="AD69" s="89" t="s">
        <v>1542</v>
      </c>
      <c r="AE69" s="102" t="s">
        <v>1816</v>
      </c>
      <c r="AF69" s="89">
        <v>92</v>
      </c>
      <c r="AG69" s="89">
        <v>28</v>
      </c>
      <c r="AH69" s="89">
        <v>458</v>
      </c>
      <c r="AI69" s="89">
        <v>2284</v>
      </c>
      <c r="AJ69" s="89"/>
      <c r="AK69" s="89" t="s">
        <v>2022</v>
      </c>
      <c r="AL69" s="89"/>
      <c r="AM69" s="89"/>
      <c r="AN69" s="89"/>
      <c r="AO69" s="92">
        <v>41203.695185185185</v>
      </c>
      <c r="AP69" s="89"/>
      <c r="AQ69" s="89" t="b">
        <v>1</v>
      </c>
      <c r="AR69" s="89" t="b">
        <v>1</v>
      </c>
      <c r="AS69" s="89" t="b">
        <v>0</v>
      </c>
      <c r="AT69" s="89"/>
      <c r="AU69" s="89">
        <v>0</v>
      </c>
      <c r="AV69" s="95" t="str">
        <f>HYPERLINK("https://abs.twimg.com/images/themes/theme1/bg.png")</f>
        <v>https://abs.twimg.com/images/themes/theme1/bg.png</v>
      </c>
      <c r="AW69" s="89" t="b">
        <v>0</v>
      </c>
      <c r="AX69" s="89" t="s">
        <v>2300</v>
      </c>
      <c r="AY69" s="95" t="str">
        <f>HYPERLINK("https://twitter.com/haukkatar70")</f>
        <v>https://twitter.com/haukkatar70</v>
      </c>
      <c r="AZ69" s="89" t="s">
        <v>66</v>
      </c>
      <c r="BA69" s="89" t="str">
        <f>REPLACE(INDEX(GroupVertices[Group],MATCH(Vertices[[#This Row],[Vertex]],GroupVertices[Vertex],0)),1,1,"")</f>
        <v>7</v>
      </c>
      <c r="BB69" s="49">
        <v>0</v>
      </c>
      <c r="BC69" s="50">
        <v>0</v>
      </c>
      <c r="BD69" s="49">
        <v>0</v>
      </c>
      <c r="BE69" s="50">
        <v>0</v>
      </c>
      <c r="BF69" s="49">
        <v>0</v>
      </c>
      <c r="BG69" s="50">
        <v>0</v>
      </c>
      <c r="BH69" s="49">
        <v>36</v>
      </c>
      <c r="BI69" s="50">
        <v>100</v>
      </c>
      <c r="BJ69" s="49">
        <v>36</v>
      </c>
      <c r="BK69" s="49"/>
      <c r="BL69" s="49"/>
      <c r="BM69" s="49"/>
      <c r="BN69" s="49"/>
      <c r="BO69" s="49"/>
      <c r="BP69" s="49"/>
      <c r="BQ69" s="123" t="s">
        <v>5569</v>
      </c>
      <c r="BR69" s="123" t="s">
        <v>5569</v>
      </c>
      <c r="BS69" s="123" t="s">
        <v>5721</v>
      </c>
      <c r="BT69" s="123" t="s">
        <v>5721</v>
      </c>
      <c r="BU69" s="2"/>
      <c r="BV69" s="3"/>
      <c r="BW69" s="3"/>
      <c r="BX69" s="3"/>
      <c r="BY69" s="3"/>
    </row>
    <row r="70" spans="1:77" ht="15">
      <c r="A70" s="65" t="s">
        <v>404</v>
      </c>
      <c r="B70" s="66"/>
      <c r="C70" s="66" t="s">
        <v>46</v>
      </c>
      <c r="D70" s="67">
        <v>10</v>
      </c>
      <c r="E70" s="69"/>
      <c r="F70" s="111" t="str">
        <f>HYPERLINK("https://pbs.twimg.com/profile_images/1454866324895711232/QBPZFyCq_normal.jpg")</f>
        <v>https://pbs.twimg.com/profile_images/1454866324895711232/QBPZFyCq_normal.jpg</v>
      </c>
      <c r="G70" s="66"/>
      <c r="H70" s="70" t="s">
        <v>404</v>
      </c>
      <c r="I70" s="71" t="s">
        <v>5827</v>
      </c>
      <c r="J70" s="71" t="s">
        <v>75</v>
      </c>
      <c r="K70" s="70" t="s">
        <v>2367</v>
      </c>
      <c r="L70" s="74">
        <v>477.0952380952381</v>
      </c>
      <c r="M70" s="75">
        <v>6118.0986328125</v>
      </c>
      <c r="N70" s="75">
        <v>234.17147827148438</v>
      </c>
      <c r="O70" s="76"/>
      <c r="P70" s="77"/>
      <c r="Q70" s="77"/>
      <c r="R70" s="104"/>
      <c r="S70" s="49">
        <v>1</v>
      </c>
      <c r="T70" s="49">
        <v>0</v>
      </c>
      <c r="U70" s="50">
        <v>0</v>
      </c>
      <c r="V70" s="50">
        <v>0.000749</v>
      </c>
      <c r="W70" s="50">
        <v>5.4E-05</v>
      </c>
      <c r="X70" s="50">
        <v>0.434137</v>
      </c>
      <c r="Y70" s="50">
        <v>0</v>
      </c>
      <c r="Z70" s="50">
        <v>0</v>
      </c>
      <c r="AA70" s="72">
        <v>70</v>
      </c>
      <c r="AB70" s="72"/>
      <c r="AC70" s="73"/>
      <c r="AD70" s="89" t="s">
        <v>1543</v>
      </c>
      <c r="AE70" s="102" t="s">
        <v>1357</v>
      </c>
      <c r="AF70" s="89">
        <v>703</v>
      </c>
      <c r="AG70" s="89">
        <v>115</v>
      </c>
      <c r="AH70" s="89">
        <v>288</v>
      </c>
      <c r="AI70" s="89">
        <v>4376</v>
      </c>
      <c r="AJ70" s="89"/>
      <c r="AK70" s="89" t="s">
        <v>2023</v>
      </c>
      <c r="AL70" s="89"/>
      <c r="AM70" s="95" t="str">
        <f>HYPERLINK("https://t.co/GmPpLVSi0J")</f>
        <v>https://t.co/GmPpLVSi0J</v>
      </c>
      <c r="AN70" s="89"/>
      <c r="AO70" s="92">
        <v>44150.43607638889</v>
      </c>
      <c r="AP70" s="89"/>
      <c r="AQ70" s="89" t="b">
        <v>1</v>
      </c>
      <c r="AR70" s="89" t="b">
        <v>0</v>
      </c>
      <c r="AS70" s="89" t="b">
        <v>0</v>
      </c>
      <c r="AT70" s="89"/>
      <c r="AU70" s="89">
        <v>1</v>
      </c>
      <c r="AV70" s="89"/>
      <c r="AW70" s="89" t="b">
        <v>0</v>
      </c>
      <c r="AX70" s="89" t="s">
        <v>2300</v>
      </c>
      <c r="AY70" s="95" t="str">
        <f>HYPERLINK("https://twitter.com/molkanenoskari")</f>
        <v>https://twitter.com/molkanenoskari</v>
      </c>
      <c r="AZ70" s="89" t="s">
        <v>65</v>
      </c>
      <c r="BA70" s="89"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338</v>
      </c>
      <c r="B71" s="66"/>
      <c r="C71" s="66" t="s">
        <v>64</v>
      </c>
      <c r="D71" s="67">
        <v>1000</v>
      </c>
      <c r="E71" s="69"/>
      <c r="F71" s="111" t="str">
        <f>HYPERLINK("https://pbs.twimg.com/profile_images/1376746837810511872/72eWhpfP_normal.jpg")</f>
        <v>https://pbs.twimg.com/profile_images/1376746837810511872/72eWhpfP_normal.jpg</v>
      </c>
      <c r="G71" s="66"/>
      <c r="H71" s="70" t="s">
        <v>338</v>
      </c>
      <c r="I71" s="71" t="s">
        <v>5818</v>
      </c>
      <c r="J71" s="71" t="s">
        <v>73</v>
      </c>
      <c r="K71" s="70" t="s">
        <v>2368</v>
      </c>
      <c r="L71" s="74">
        <v>5714.142857142857</v>
      </c>
      <c r="M71" s="75">
        <v>1707.842529296875</v>
      </c>
      <c r="N71" s="75">
        <v>8022.92138671875</v>
      </c>
      <c r="O71" s="76"/>
      <c r="P71" s="77"/>
      <c r="Q71" s="77"/>
      <c r="R71" s="104"/>
      <c r="S71" s="49">
        <v>12</v>
      </c>
      <c r="T71" s="49">
        <v>5</v>
      </c>
      <c r="U71" s="50">
        <v>13742.342267</v>
      </c>
      <c r="V71" s="50">
        <v>0.001138</v>
      </c>
      <c r="W71" s="50">
        <v>0.003824</v>
      </c>
      <c r="X71" s="50">
        <v>3.794932</v>
      </c>
      <c r="Y71" s="50">
        <v>0.05714285714285714</v>
      </c>
      <c r="Z71" s="50">
        <v>0.13333333333333333</v>
      </c>
      <c r="AA71" s="72">
        <v>71</v>
      </c>
      <c r="AB71" s="72"/>
      <c r="AC71" s="73"/>
      <c r="AD71" s="89" t="s">
        <v>1544</v>
      </c>
      <c r="AE71" s="102" t="s">
        <v>1361</v>
      </c>
      <c r="AF71" s="89">
        <v>4024</v>
      </c>
      <c r="AG71" s="89">
        <v>4968</v>
      </c>
      <c r="AH71" s="89">
        <v>18586</v>
      </c>
      <c r="AI71" s="89">
        <v>47223</v>
      </c>
      <c r="AJ71" s="89"/>
      <c r="AK71" s="89" t="s">
        <v>2024</v>
      </c>
      <c r="AL71" s="89"/>
      <c r="AM71" s="89"/>
      <c r="AN71" s="89"/>
      <c r="AO71" s="92">
        <v>43903.34898148148</v>
      </c>
      <c r="AP71" s="95" t="str">
        <f>HYPERLINK("https://pbs.twimg.com/profile_banners/1238379422123790338/1614889140")</f>
        <v>https://pbs.twimg.com/profile_banners/1238379422123790338/1614889140</v>
      </c>
      <c r="AQ71" s="89" t="b">
        <v>1</v>
      </c>
      <c r="AR71" s="89" t="b">
        <v>0</v>
      </c>
      <c r="AS71" s="89" t="b">
        <v>0</v>
      </c>
      <c r="AT71" s="89"/>
      <c r="AU71" s="89">
        <v>9</v>
      </c>
      <c r="AV71" s="89"/>
      <c r="AW71" s="89" t="b">
        <v>0</v>
      </c>
      <c r="AX71" s="89" t="s">
        <v>2300</v>
      </c>
      <c r="AY71" s="95" t="str">
        <f>HYPERLINK("https://twitter.com/korpinenlaura")</f>
        <v>https://twitter.com/korpinenlaura</v>
      </c>
      <c r="AZ71" s="89" t="s">
        <v>66</v>
      </c>
      <c r="BA71" s="89" t="str">
        <f>REPLACE(INDEX(GroupVertices[Group],MATCH(Vertices[[#This Row],[Vertex]],GroupVertices[Vertex],0)),1,1,"")</f>
        <v>1</v>
      </c>
      <c r="BB71" s="49">
        <v>0</v>
      </c>
      <c r="BC71" s="50">
        <v>0</v>
      </c>
      <c r="BD71" s="49">
        <v>0</v>
      </c>
      <c r="BE71" s="50">
        <v>0</v>
      </c>
      <c r="BF71" s="49">
        <v>0</v>
      </c>
      <c r="BG71" s="50">
        <v>0</v>
      </c>
      <c r="BH71" s="49">
        <v>90</v>
      </c>
      <c r="BI71" s="50">
        <v>100</v>
      </c>
      <c r="BJ71" s="49">
        <v>90</v>
      </c>
      <c r="BK71" s="49" t="s">
        <v>5510</v>
      </c>
      <c r="BL71" s="49" t="s">
        <v>5510</v>
      </c>
      <c r="BM71" s="49" t="s">
        <v>5522</v>
      </c>
      <c r="BN71" s="49" t="s">
        <v>5522</v>
      </c>
      <c r="BO71" s="49" t="s">
        <v>5280</v>
      </c>
      <c r="BP71" s="49" t="s">
        <v>716</v>
      </c>
      <c r="BQ71" s="123" t="s">
        <v>5570</v>
      </c>
      <c r="BR71" s="123" t="s">
        <v>5659</v>
      </c>
      <c r="BS71" s="123" t="s">
        <v>5722</v>
      </c>
      <c r="BT71" s="123" t="s">
        <v>5804</v>
      </c>
      <c r="BU71" s="2"/>
      <c r="BV71" s="3"/>
      <c r="BW71" s="3"/>
      <c r="BX71" s="3"/>
      <c r="BY71" s="3"/>
    </row>
    <row r="72" spans="1:77" ht="15">
      <c r="A72" s="65" t="s">
        <v>257</v>
      </c>
      <c r="B72" s="66"/>
      <c r="C72" s="66" t="s">
        <v>46</v>
      </c>
      <c r="D72" s="67"/>
      <c r="E72" s="69"/>
      <c r="F72" s="111" t="str">
        <f>HYPERLINK("https://pbs.twimg.com/profile_images/1448289726927151112/lQx7uK0m_normal.jpg")</f>
        <v>https://pbs.twimg.com/profile_images/1448289726927151112/lQx7uK0m_normal.jpg</v>
      </c>
      <c r="G72" s="66"/>
      <c r="H72" s="70" t="s">
        <v>257</v>
      </c>
      <c r="I72" s="71" t="s">
        <v>5830</v>
      </c>
      <c r="J72" s="71" t="s">
        <v>73</v>
      </c>
      <c r="K72" s="70" t="s">
        <v>2369</v>
      </c>
      <c r="L72" s="74">
        <v>1</v>
      </c>
      <c r="M72" s="75">
        <v>6797.73193359375</v>
      </c>
      <c r="N72" s="75">
        <v>1592.353759765625</v>
      </c>
      <c r="O72" s="76"/>
      <c r="P72" s="77"/>
      <c r="Q72" s="77"/>
      <c r="R72" s="104"/>
      <c r="S72" s="49">
        <v>0</v>
      </c>
      <c r="T72" s="49">
        <v>1</v>
      </c>
      <c r="U72" s="50">
        <v>0</v>
      </c>
      <c r="V72" s="50">
        <v>0.142857</v>
      </c>
      <c r="W72" s="50">
        <v>0</v>
      </c>
      <c r="X72" s="50">
        <v>0.655404</v>
      </c>
      <c r="Y72" s="50">
        <v>0</v>
      </c>
      <c r="Z72" s="50">
        <v>0</v>
      </c>
      <c r="AA72" s="72">
        <v>72</v>
      </c>
      <c r="AB72" s="72"/>
      <c r="AC72" s="73"/>
      <c r="AD72" s="89" t="s">
        <v>1545</v>
      </c>
      <c r="AE72" s="102" t="s">
        <v>1817</v>
      </c>
      <c r="AF72" s="89">
        <v>293</v>
      </c>
      <c r="AG72" s="89">
        <v>30</v>
      </c>
      <c r="AH72" s="89">
        <v>704</v>
      </c>
      <c r="AI72" s="89">
        <v>1884</v>
      </c>
      <c r="AJ72" s="89"/>
      <c r="AK72" s="89"/>
      <c r="AL72" s="89" t="s">
        <v>2237</v>
      </c>
      <c r="AM72" s="89"/>
      <c r="AN72" s="89"/>
      <c r="AO72" s="92">
        <v>42277.669270833336</v>
      </c>
      <c r="AP72" s="89"/>
      <c r="AQ72" s="89" t="b">
        <v>1</v>
      </c>
      <c r="AR72" s="89" t="b">
        <v>0</v>
      </c>
      <c r="AS72" s="89" t="b">
        <v>0</v>
      </c>
      <c r="AT72" s="89"/>
      <c r="AU72" s="89">
        <v>3</v>
      </c>
      <c r="AV72" s="95" t="str">
        <f>HYPERLINK("https://abs.twimg.com/images/themes/theme1/bg.png")</f>
        <v>https://abs.twimg.com/images/themes/theme1/bg.png</v>
      </c>
      <c r="AW72" s="89" t="b">
        <v>0</v>
      </c>
      <c r="AX72" s="89" t="s">
        <v>2300</v>
      </c>
      <c r="AY72" s="95" t="str">
        <f>HYPERLINK("https://twitter.com/kikkimirri")</f>
        <v>https://twitter.com/kikkimirri</v>
      </c>
      <c r="AZ72" s="89" t="s">
        <v>66</v>
      </c>
      <c r="BA72" s="89" t="str">
        <f>REPLACE(INDEX(GroupVertices[Group],MATCH(Vertices[[#This Row],[Vertex]],GroupVertices[Vertex],0)),1,1,"")</f>
        <v>12</v>
      </c>
      <c r="BB72" s="49">
        <v>0</v>
      </c>
      <c r="BC72" s="50">
        <v>0</v>
      </c>
      <c r="BD72" s="49">
        <v>0</v>
      </c>
      <c r="BE72" s="50">
        <v>0</v>
      </c>
      <c r="BF72" s="49">
        <v>0</v>
      </c>
      <c r="BG72" s="50">
        <v>0</v>
      </c>
      <c r="BH72" s="49">
        <v>13</v>
      </c>
      <c r="BI72" s="50">
        <v>100</v>
      </c>
      <c r="BJ72" s="49">
        <v>13</v>
      </c>
      <c r="BK72" s="49"/>
      <c r="BL72" s="49"/>
      <c r="BM72" s="49"/>
      <c r="BN72" s="49"/>
      <c r="BO72" s="49"/>
      <c r="BP72" s="49"/>
      <c r="BQ72" s="123" t="s">
        <v>5571</v>
      </c>
      <c r="BR72" s="123" t="s">
        <v>5571</v>
      </c>
      <c r="BS72" s="123" t="s">
        <v>5723</v>
      </c>
      <c r="BT72" s="123" t="s">
        <v>5723</v>
      </c>
      <c r="BU72" s="2"/>
      <c r="BV72" s="3"/>
      <c r="BW72" s="3"/>
      <c r="BX72" s="3"/>
      <c r="BY72" s="3"/>
    </row>
    <row r="73" spans="1:77" ht="15">
      <c r="A73" s="65" t="s">
        <v>258</v>
      </c>
      <c r="B73" s="66"/>
      <c r="C73" s="66" t="s">
        <v>46</v>
      </c>
      <c r="D73" s="67"/>
      <c r="E73" s="69"/>
      <c r="F73" s="111" t="str">
        <f>HYPERLINK("https://pbs.twimg.com/profile_images/1427342801860186122/a5GvyHOd_normal.jpg")</f>
        <v>https://pbs.twimg.com/profile_images/1427342801860186122/a5GvyHOd_normal.jpg</v>
      </c>
      <c r="G73" s="66"/>
      <c r="H73" s="70" t="s">
        <v>258</v>
      </c>
      <c r="I73" s="71" t="s">
        <v>5825</v>
      </c>
      <c r="J73" s="71" t="s">
        <v>73</v>
      </c>
      <c r="K73" s="70" t="s">
        <v>2370</v>
      </c>
      <c r="L73" s="74">
        <v>1</v>
      </c>
      <c r="M73" s="75">
        <v>9470.4755859375</v>
      </c>
      <c r="N73" s="75">
        <v>9240.96875</v>
      </c>
      <c r="O73" s="76"/>
      <c r="P73" s="77"/>
      <c r="Q73" s="77"/>
      <c r="R73" s="104"/>
      <c r="S73" s="49">
        <v>0</v>
      </c>
      <c r="T73" s="49">
        <v>4</v>
      </c>
      <c r="U73" s="50">
        <v>1890.63539</v>
      </c>
      <c r="V73" s="50">
        <v>0.000844</v>
      </c>
      <c r="W73" s="50">
        <v>0.000501</v>
      </c>
      <c r="X73" s="50">
        <v>1.557848</v>
      </c>
      <c r="Y73" s="50">
        <v>0</v>
      </c>
      <c r="Z73" s="50">
        <v>0</v>
      </c>
      <c r="AA73" s="72">
        <v>73</v>
      </c>
      <c r="AB73" s="72"/>
      <c r="AC73" s="73"/>
      <c r="AD73" s="89" t="s">
        <v>1546</v>
      </c>
      <c r="AE73" s="102" t="s">
        <v>1818</v>
      </c>
      <c r="AF73" s="89">
        <v>120</v>
      </c>
      <c r="AG73" s="89">
        <v>891</v>
      </c>
      <c r="AH73" s="89">
        <v>3357</v>
      </c>
      <c r="AI73" s="89">
        <v>6957</v>
      </c>
      <c r="AJ73" s="89"/>
      <c r="AK73" s="89"/>
      <c r="AL73" s="89"/>
      <c r="AM73" s="89"/>
      <c r="AN73" s="89"/>
      <c r="AO73" s="92">
        <v>44290.52474537037</v>
      </c>
      <c r="AP73" s="95" t="str">
        <f>HYPERLINK("https://pbs.twimg.com/profile_banners/1378687566250135553/1637249696")</f>
        <v>https://pbs.twimg.com/profile_banners/1378687566250135553/1637249696</v>
      </c>
      <c r="AQ73" s="89" t="b">
        <v>1</v>
      </c>
      <c r="AR73" s="89" t="b">
        <v>0</v>
      </c>
      <c r="AS73" s="89" t="b">
        <v>0</v>
      </c>
      <c r="AT73" s="89"/>
      <c r="AU73" s="89">
        <v>0</v>
      </c>
      <c r="AV73" s="89"/>
      <c r="AW73" s="89" t="b">
        <v>0</v>
      </c>
      <c r="AX73" s="89" t="s">
        <v>2300</v>
      </c>
      <c r="AY73" s="95" t="str">
        <f>HYPERLINK("https://twitter.com/terrieri4")</f>
        <v>https://twitter.com/terrieri4</v>
      </c>
      <c r="AZ73" s="89" t="s">
        <v>66</v>
      </c>
      <c r="BA73" s="89" t="str">
        <f>REPLACE(INDEX(GroupVertices[Group],MATCH(Vertices[[#This Row],[Vertex]],GroupVertices[Vertex],0)),1,1,"")</f>
        <v>6</v>
      </c>
      <c r="BB73" s="49">
        <v>0</v>
      </c>
      <c r="BC73" s="50">
        <v>0</v>
      </c>
      <c r="BD73" s="49">
        <v>0</v>
      </c>
      <c r="BE73" s="50">
        <v>0</v>
      </c>
      <c r="BF73" s="49">
        <v>0</v>
      </c>
      <c r="BG73" s="50">
        <v>0</v>
      </c>
      <c r="BH73" s="49">
        <v>18</v>
      </c>
      <c r="BI73" s="50">
        <v>100</v>
      </c>
      <c r="BJ73" s="49">
        <v>18</v>
      </c>
      <c r="BK73" s="49"/>
      <c r="BL73" s="49"/>
      <c r="BM73" s="49"/>
      <c r="BN73" s="49"/>
      <c r="BO73" s="49"/>
      <c r="BP73" s="49"/>
      <c r="BQ73" s="123" t="s">
        <v>5572</v>
      </c>
      <c r="BR73" s="123" t="s">
        <v>5572</v>
      </c>
      <c r="BS73" s="123" t="s">
        <v>5724</v>
      </c>
      <c r="BT73" s="123" t="s">
        <v>5724</v>
      </c>
      <c r="BU73" s="2"/>
      <c r="BV73" s="3"/>
      <c r="BW73" s="3"/>
      <c r="BX73" s="3"/>
      <c r="BY73" s="3"/>
    </row>
    <row r="74" spans="1:77" ht="15">
      <c r="A74" s="65" t="s">
        <v>405</v>
      </c>
      <c r="B74" s="66"/>
      <c r="C74" s="66" t="s">
        <v>46</v>
      </c>
      <c r="D74" s="67">
        <v>10</v>
      </c>
      <c r="E74" s="69"/>
      <c r="F74" s="111" t="str">
        <f>HYPERLINK("https://pbs.twimg.com/profile_images/1234077925256957954/bECJ9c1I_normal.jpg")</f>
        <v>https://pbs.twimg.com/profile_images/1234077925256957954/bECJ9c1I_normal.jpg</v>
      </c>
      <c r="G74" s="66"/>
      <c r="H74" s="70" t="s">
        <v>405</v>
      </c>
      <c r="I74" s="71" t="s">
        <v>5825</v>
      </c>
      <c r="J74" s="71" t="s">
        <v>75</v>
      </c>
      <c r="K74" s="70" t="s">
        <v>2371</v>
      </c>
      <c r="L74" s="74">
        <v>477.0952380952381</v>
      </c>
      <c r="M74" s="75">
        <v>9248.357421875</v>
      </c>
      <c r="N74" s="75">
        <v>9764.8310546875</v>
      </c>
      <c r="O74" s="76"/>
      <c r="P74" s="77"/>
      <c r="Q74" s="77"/>
      <c r="R74" s="104"/>
      <c r="S74" s="49">
        <v>1</v>
      </c>
      <c r="T74" s="49">
        <v>0</v>
      </c>
      <c r="U74" s="50">
        <v>0</v>
      </c>
      <c r="V74" s="50">
        <v>0.0007</v>
      </c>
      <c r="W74" s="50">
        <v>5.8E-05</v>
      </c>
      <c r="X74" s="50">
        <v>0.481043</v>
      </c>
      <c r="Y74" s="50">
        <v>0</v>
      </c>
      <c r="Z74" s="50">
        <v>0</v>
      </c>
      <c r="AA74" s="72">
        <v>74</v>
      </c>
      <c r="AB74" s="72"/>
      <c r="AC74" s="73"/>
      <c r="AD74" s="89" t="s">
        <v>1547</v>
      </c>
      <c r="AE74" s="102" t="s">
        <v>1819</v>
      </c>
      <c r="AF74" s="89">
        <v>4133</v>
      </c>
      <c r="AG74" s="89">
        <v>3638</v>
      </c>
      <c r="AH74" s="89">
        <v>36327</v>
      </c>
      <c r="AI74" s="89">
        <v>62668</v>
      </c>
      <c r="AJ74" s="89"/>
      <c r="AK74" s="89" t="s">
        <v>2025</v>
      </c>
      <c r="AL74" s="89" t="s">
        <v>2221</v>
      </c>
      <c r="AM74" s="89"/>
      <c r="AN74" s="89"/>
      <c r="AO74" s="92">
        <v>43766.35921296296</v>
      </c>
      <c r="AP74" s="95" t="str">
        <f>HYPERLINK("https://pbs.twimg.com/profile_banners/1188736413208121345/1589310156")</f>
        <v>https://pbs.twimg.com/profile_banners/1188736413208121345/1589310156</v>
      </c>
      <c r="AQ74" s="89" t="b">
        <v>1</v>
      </c>
      <c r="AR74" s="89" t="b">
        <v>0</v>
      </c>
      <c r="AS74" s="89" t="b">
        <v>1</v>
      </c>
      <c r="AT74" s="89"/>
      <c r="AU74" s="89">
        <v>6</v>
      </c>
      <c r="AV74" s="89"/>
      <c r="AW74" s="89" t="b">
        <v>0</v>
      </c>
      <c r="AX74" s="89" t="s">
        <v>2300</v>
      </c>
      <c r="AY74" s="95" t="str">
        <f>HYPERLINK("https://twitter.com/arquez13")</f>
        <v>https://twitter.com/arquez13</v>
      </c>
      <c r="AZ74" s="89" t="s">
        <v>65</v>
      </c>
      <c r="BA74" s="89"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406</v>
      </c>
      <c r="B75" s="66"/>
      <c r="C75" s="66" t="s">
        <v>46</v>
      </c>
      <c r="D75" s="67">
        <v>10</v>
      </c>
      <c r="E75" s="69"/>
      <c r="F75" s="111" t="str">
        <f>HYPERLINK("https://pbs.twimg.com/profile_images/1071168745635278848/6kbZKv2k_normal.jpg")</f>
        <v>https://pbs.twimg.com/profile_images/1071168745635278848/6kbZKv2k_normal.jpg</v>
      </c>
      <c r="G75" s="66"/>
      <c r="H75" s="70" t="s">
        <v>406</v>
      </c>
      <c r="I75" s="71" t="s">
        <v>5825</v>
      </c>
      <c r="J75" s="71" t="s">
        <v>75</v>
      </c>
      <c r="K75" s="70" t="s">
        <v>2372</v>
      </c>
      <c r="L75" s="74">
        <v>477.0952380952381</v>
      </c>
      <c r="M75" s="75">
        <v>9656.5322265625</v>
      </c>
      <c r="N75" s="75">
        <v>9418.9794921875</v>
      </c>
      <c r="O75" s="76"/>
      <c r="P75" s="77"/>
      <c r="Q75" s="77"/>
      <c r="R75" s="104"/>
      <c r="S75" s="49">
        <v>1</v>
      </c>
      <c r="T75" s="49">
        <v>0</v>
      </c>
      <c r="U75" s="50">
        <v>0</v>
      </c>
      <c r="V75" s="50">
        <v>0.0007</v>
      </c>
      <c r="W75" s="50">
        <v>5.8E-05</v>
      </c>
      <c r="X75" s="50">
        <v>0.481043</v>
      </c>
      <c r="Y75" s="50">
        <v>0</v>
      </c>
      <c r="Z75" s="50">
        <v>0</v>
      </c>
      <c r="AA75" s="72">
        <v>75</v>
      </c>
      <c r="AB75" s="72"/>
      <c r="AC75" s="73"/>
      <c r="AD75" s="89" t="s">
        <v>1548</v>
      </c>
      <c r="AE75" s="102" t="s">
        <v>1820</v>
      </c>
      <c r="AF75" s="89">
        <v>143</v>
      </c>
      <c r="AG75" s="89">
        <v>47</v>
      </c>
      <c r="AH75" s="89">
        <v>841</v>
      </c>
      <c r="AI75" s="89">
        <v>5809</v>
      </c>
      <c r="AJ75" s="89"/>
      <c r="AK75" s="89"/>
      <c r="AL75" s="89"/>
      <c r="AM75" s="89"/>
      <c r="AN75" s="89"/>
      <c r="AO75" s="92">
        <v>41525.29344907407</v>
      </c>
      <c r="AP75" s="89"/>
      <c r="AQ75" s="89" t="b">
        <v>1</v>
      </c>
      <c r="AR75" s="89" t="b">
        <v>0</v>
      </c>
      <c r="AS75" s="89" t="b">
        <v>0</v>
      </c>
      <c r="AT75" s="89"/>
      <c r="AU75" s="89">
        <v>0</v>
      </c>
      <c r="AV75" s="95" t="str">
        <f>HYPERLINK("https://abs.twimg.com/images/themes/theme1/bg.png")</f>
        <v>https://abs.twimg.com/images/themes/theme1/bg.png</v>
      </c>
      <c r="AW75" s="89" t="b">
        <v>0</v>
      </c>
      <c r="AX75" s="89" t="s">
        <v>2300</v>
      </c>
      <c r="AY75" s="95" t="str">
        <f>HYPERLINK("https://twitter.com/kimmorautanen")</f>
        <v>https://twitter.com/kimmorautanen</v>
      </c>
      <c r="AZ75" s="89" t="s">
        <v>65</v>
      </c>
      <c r="BA75" s="89"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341</v>
      </c>
      <c r="B76" s="66"/>
      <c r="C76" s="66" t="s">
        <v>46</v>
      </c>
      <c r="D76" s="67">
        <v>10</v>
      </c>
      <c r="E76" s="69"/>
      <c r="F76" s="111" t="str">
        <f>HYPERLINK("https://pbs.twimg.com/profile_images/1197521413386715136/KE0H-A_T_normal.jpg")</f>
        <v>https://pbs.twimg.com/profile_images/1197521413386715136/KE0H-A_T_normal.jpg</v>
      </c>
      <c r="G76" s="66"/>
      <c r="H76" s="70" t="s">
        <v>341</v>
      </c>
      <c r="I76" s="71" t="s">
        <v>5825</v>
      </c>
      <c r="J76" s="71" t="s">
        <v>73</v>
      </c>
      <c r="K76" s="70" t="s">
        <v>2373</v>
      </c>
      <c r="L76" s="74">
        <v>477.0952380952381</v>
      </c>
      <c r="M76" s="75">
        <v>9545.4052734375</v>
      </c>
      <c r="N76" s="75">
        <v>8237.287109375</v>
      </c>
      <c r="O76" s="76"/>
      <c r="P76" s="77"/>
      <c r="Q76" s="77"/>
      <c r="R76" s="104"/>
      <c r="S76" s="49">
        <v>1</v>
      </c>
      <c r="T76" s="49">
        <v>10</v>
      </c>
      <c r="U76" s="50">
        <v>6614.970227</v>
      </c>
      <c r="V76" s="50">
        <v>0.00103</v>
      </c>
      <c r="W76" s="50">
        <v>0.004025</v>
      </c>
      <c r="X76" s="50">
        <v>3.651178</v>
      </c>
      <c r="Y76" s="50">
        <v>0</v>
      </c>
      <c r="Z76" s="50">
        <v>0</v>
      </c>
      <c r="AA76" s="72">
        <v>76</v>
      </c>
      <c r="AB76" s="72"/>
      <c r="AC76" s="73"/>
      <c r="AD76" s="89" t="s">
        <v>1549</v>
      </c>
      <c r="AE76" s="102" t="s">
        <v>1821</v>
      </c>
      <c r="AF76" s="89">
        <v>1656</v>
      </c>
      <c r="AG76" s="89">
        <v>2745</v>
      </c>
      <c r="AH76" s="89">
        <v>107252</v>
      </c>
      <c r="AI76" s="89">
        <v>142167</v>
      </c>
      <c r="AJ76" s="89"/>
      <c r="AK76" s="89" t="s">
        <v>2026</v>
      </c>
      <c r="AL76" s="89" t="s">
        <v>2238</v>
      </c>
      <c r="AM76" s="95" t="str">
        <f>HYPERLINK("https://t.co/Fh6kxh5A5c")</f>
        <v>https://t.co/Fh6kxh5A5c</v>
      </c>
      <c r="AN76" s="89"/>
      <c r="AO76" s="92">
        <v>42396.5871412037</v>
      </c>
      <c r="AP76" s="95" t="str">
        <f>HYPERLINK("https://pbs.twimg.com/profile_banners/4853607629/1454073285")</f>
        <v>https://pbs.twimg.com/profile_banners/4853607629/1454073285</v>
      </c>
      <c r="AQ76" s="89" t="b">
        <v>1</v>
      </c>
      <c r="AR76" s="89" t="b">
        <v>0</v>
      </c>
      <c r="AS76" s="89" t="b">
        <v>0</v>
      </c>
      <c r="AT76" s="89"/>
      <c r="AU76" s="89">
        <v>15</v>
      </c>
      <c r="AV76" s="89"/>
      <c r="AW76" s="89" t="b">
        <v>0</v>
      </c>
      <c r="AX76" s="89" t="s">
        <v>2300</v>
      </c>
      <c r="AY76" s="95" t="str">
        <f>HYPERLINK("https://twitter.com/makrikali")</f>
        <v>https://twitter.com/makrikali</v>
      </c>
      <c r="AZ76" s="89" t="s">
        <v>66</v>
      </c>
      <c r="BA76" s="89" t="str">
        <f>REPLACE(INDEX(GroupVertices[Group],MATCH(Vertices[[#This Row],[Vertex]],GroupVertices[Vertex],0)),1,1,"")</f>
        <v>6</v>
      </c>
      <c r="BB76" s="49">
        <v>0</v>
      </c>
      <c r="BC76" s="50">
        <v>0</v>
      </c>
      <c r="BD76" s="49">
        <v>0</v>
      </c>
      <c r="BE76" s="50">
        <v>0</v>
      </c>
      <c r="BF76" s="49">
        <v>0</v>
      </c>
      <c r="BG76" s="50">
        <v>0</v>
      </c>
      <c r="BH76" s="49">
        <v>125</v>
      </c>
      <c r="BI76" s="50">
        <v>100</v>
      </c>
      <c r="BJ76" s="49">
        <v>125</v>
      </c>
      <c r="BK76" s="49"/>
      <c r="BL76" s="49"/>
      <c r="BM76" s="49"/>
      <c r="BN76" s="49"/>
      <c r="BO76" s="49" t="s">
        <v>717</v>
      </c>
      <c r="BP76" s="49" t="s">
        <v>717</v>
      </c>
      <c r="BQ76" s="123" t="s">
        <v>5573</v>
      </c>
      <c r="BR76" s="123" t="s">
        <v>5660</v>
      </c>
      <c r="BS76" s="123" t="s">
        <v>5725</v>
      </c>
      <c r="BT76" s="123" t="s">
        <v>5725</v>
      </c>
      <c r="BU76" s="2"/>
      <c r="BV76" s="3"/>
      <c r="BW76" s="3"/>
      <c r="BX76" s="3"/>
      <c r="BY76" s="3"/>
    </row>
    <row r="77" spans="1:77" ht="15">
      <c r="A77" s="65" t="s">
        <v>266</v>
      </c>
      <c r="B77" s="66"/>
      <c r="C77" s="66" t="s">
        <v>46</v>
      </c>
      <c r="D77" s="67">
        <v>10</v>
      </c>
      <c r="E77" s="69"/>
      <c r="F77" s="111" t="str">
        <f>HYPERLINK("https://pbs.twimg.com/profile_images/1426306317891801089/om8OEdpA_normal.jpg")</f>
        <v>https://pbs.twimg.com/profile_images/1426306317891801089/om8OEdpA_normal.jpg</v>
      </c>
      <c r="G77" s="66"/>
      <c r="H77" s="70" t="s">
        <v>266</v>
      </c>
      <c r="I77" s="71" t="s">
        <v>5831</v>
      </c>
      <c r="J77" s="71" t="s">
        <v>73</v>
      </c>
      <c r="K77" s="70" t="s">
        <v>2374</v>
      </c>
      <c r="L77" s="74">
        <v>477.0952380952381</v>
      </c>
      <c r="M77" s="75">
        <v>5526.56787109375</v>
      </c>
      <c r="N77" s="75">
        <v>6085.8828125</v>
      </c>
      <c r="O77" s="76"/>
      <c r="P77" s="77"/>
      <c r="Q77" s="77"/>
      <c r="R77" s="104"/>
      <c r="S77" s="49">
        <v>1</v>
      </c>
      <c r="T77" s="49">
        <v>3</v>
      </c>
      <c r="U77" s="50">
        <v>1097.325409</v>
      </c>
      <c r="V77" s="50">
        <v>0.000732</v>
      </c>
      <c r="W77" s="50">
        <v>0.000149</v>
      </c>
      <c r="X77" s="50">
        <v>1.449127</v>
      </c>
      <c r="Y77" s="50">
        <v>0</v>
      </c>
      <c r="Z77" s="50">
        <v>0</v>
      </c>
      <c r="AA77" s="72">
        <v>77</v>
      </c>
      <c r="AB77" s="72"/>
      <c r="AC77" s="73"/>
      <c r="AD77" s="89" t="s">
        <v>1550</v>
      </c>
      <c r="AE77" s="102" t="s">
        <v>1358</v>
      </c>
      <c r="AF77" s="89">
        <v>431</v>
      </c>
      <c r="AG77" s="89">
        <v>423</v>
      </c>
      <c r="AH77" s="89">
        <v>17300</v>
      </c>
      <c r="AI77" s="89">
        <v>89935</v>
      </c>
      <c r="AJ77" s="89"/>
      <c r="AK77" s="89"/>
      <c r="AL77" s="89"/>
      <c r="AM77" s="89"/>
      <c r="AN77" s="89"/>
      <c r="AO77" s="92">
        <v>40857.43230324074</v>
      </c>
      <c r="AP77" s="89"/>
      <c r="AQ77" s="89" t="b">
        <v>1</v>
      </c>
      <c r="AR77" s="89" t="b">
        <v>0</v>
      </c>
      <c r="AS77" s="89" t="b">
        <v>0</v>
      </c>
      <c r="AT77" s="89"/>
      <c r="AU77" s="89">
        <v>6</v>
      </c>
      <c r="AV77" s="95" t="str">
        <f>HYPERLINK("https://abs.twimg.com/images/themes/theme1/bg.png")</f>
        <v>https://abs.twimg.com/images/themes/theme1/bg.png</v>
      </c>
      <c r="AW77" s="89" t="b">
        <v>0</v>
      </c>
      <c r="AX77" s="89" t="s">
        <v>2300</v>
      </c>
      <c r="AY77" s="95" t="str">
        <f>HYPERLINK("https://twitter.com/eevapirila")</f>
        <v>https://twitter.com/eevapirila</v>
      </c>
      <c r="AZ77" s="89" t="s">
        <v>66</v>
      </c>
      <c r="BA77" s="89" t="str">
        <f>REPLACE(INDEX(GroupVertices[Group],MATCH(Vertices[[#This Row],[Vertex]],GroupVertices[Vertex],0)),1,1,"")</f>
        <v>8</v>
      </c>
      <c r="BB77" s="49">
        <v>0</v>
      </c>
      <c r="BC77" s="50">
        <v>0</v>
      </c>
      <c r="BD77" s="49">
        <v>0</v>
      </c>
      <c r="BE77" s="50">
        <v>0</v>
      </c>
      <c r="BF77" s="49">
        <v>0</v>
      </c>
      <c r="BG77" s="50">
        <v>0</v>
      </c>
      <c r="BH77" s="49">
        <v>13</v>
      </c>
      <c r="BI77" s="50">
        <v>100</v>
      </c>
      <c r="BJ77" s="49">
        <v>13</v>
      </c>
      <c r="BK77" s="49"/>
      <c r="BL77" s="49"/>
      <c r="BM77" s="49"/>
      <c r="BN77" s="49"/>
      <c r="BO77" s="49"/>
      <c r="BP77" s="49"/>
      <c r="BQ77" s="123" t="s">
        <v>5574</v>
      </c>
      <c r="BR77" s="123" t="s">
        <v>5574</v>
      </c>
      <c r="BS77" s="123" t="s">
        <v>5726</v>
      </c>
      <c r="BT77" s="123" t="s">
        <v>5726</v>
      </c>
      <c r="BU77" s="2"/>
      <c r="BV77" s="3"/>
      <c r="BW77" s="3"/>
      <c r="BX77" s="3"/>
      <c r="BY77" s="3"/>
    </row>
    <row r="78" spans="1:77" ht="15">
      <c r="A78" s="65" t="s">
        <v>259</v>
      </c>
      <c r="B78" s="66"/>
      <c r="C78" s="66" t="s">
        <v>46</v>
      </c>
      <c r="D78" s="67"/>
      <c r="E78" s="69"/>
      <c r="F78" s="111" t="str">
        <f>HYPERLINK("https://pbs.twimg.com/profile_images/1350881902429949953/bJeqMo51_normal.jpg")</f>
        <v>https://pbs.twimg.com/profile_images/1350881902429949953/bJeqMo51_normal.jpg</v>
      </c>
      <c r="G78" s="66"/>
      <c r="H78" s="70" t="s">
        <v>259</v>
      </c>
      <c r="I78" s="71" t="s">
        <v>5832</v>
      </c>
      <c r="J78" s="71" t="s">
        <v>73</v>
      </c>
      <c r="K78" s="70" t="s">
        <v>2375</v>
      </c>
      <c r="L78" s="74">
        <v>1</v>
      </c>
      <c r="M78" s="75">
        <v>9407.3037109375</v>
      </c>
      <c r="N78" s="75">
        <v>4086.242431640625</v>
      </c>
      <c r="O78" s="76"/>
      <c r="P78" s="77"/>
      <c r="Q78" s="77"/>
      <c r="R78" s="104"/>
      <c r="S78" s="49">
        <v>0</v>
      </c>
      <c r="T78" s="49">
        <v>2</v>
      </c>
      <c r="U78" s="50">
        <v>2</v>
      </c>
      <c r="V78" s="50">
        <v>0.5</v>
      </c>
      <c r="W78" s="50">
        <v>0</v>
      </c>
      <c r="X78" s="50">
        <v>1.459457</v>
      </c>
      <c r="Y78" s="50">
        <v>0</v>
      </c>
      <c r="Z78" s="50">
        <v>0</v>
      </c>
      <c r="AA78" s="72">
        <v>78</v>
      </c>
      <c r="AB78" s="72"/>
      <c r="AC78" s="73"/>
      <c r="AD78" s="89" t="s">
        <v>1551</v>
      </c>
      <c r="AE78" s="102" t="s">
        <v>1822</v>
      </c>
      <c r="AF78" s="89">
        <v>125</v>
      </c>
      <c r="AG78" s="89">
        <v>143</v>
      </c>
      <c r="AH78" s="89">
        <v>15038</v>
      </c>
      <c r="AI78" s="89">
        <v>30104</v>
      </c>
      <c r="AJ78" s="89"/>
      <c r="AK78" s="89" t="s">
        <v>2027</v>
      </c>
      <c r="AL78" s="89"/>
      <c r="AM78" s="89"/>
      <c r="AN78" s="89"/>
      <c r="AO78" s="92">
        <v>43894.631631944445</v>
      </c>
      <c r="AP78" s="95" t="str">
        <f>HYPERLINK("https://pbs.twimg.com/profile_banners/1235220781967298560/1611247129")</f>
        <v>https://pbs.twimg.com/profile_banners/1235220781967298560/1611247129</v>
      </c>
      <c r="AQ78" s="89" t="b">
        <v>1</v>
      </c>
      <c r="AR78" s="89" t="b">
        <v>0</v>
      </c>
      <c r="AS78" s="89" t="b">
        <v>0</v>
      </c>
      <c r="AT78" s="89"/>
      <c r="AU78" s="89">
        <v>2</v>
      </c>
      <c r="AV78" s="89"/>
      <c r="AW78" s="89" t="b">
        <v>0</v>
      </c>
      <c r="AX78" s="89" t="s">
        <v>2300</v>
      </c>
      <c r="AY78" s="95" t="str">
        <f>HYPERLINK("https://twitter.com/bp20185")</f>
        <v>https://twitter.com/bp20185</v>
      </c>
      <c r="AZ78" s="89" t="s">
        <v>66</v>
      </c>
      <c r="BA78" s="89" t="str">
        <f>REPLACE(INDEX(GroupVertices[Group],MATCH(Vertices[[#This Row],[Vertex]],GroupVertices[Vertex],0)),1,1,"")</f>
        <v>20</v>
      </c>
      <c r="BB78" s="49">
        <v>0</v>
      </c>
      <c r="BC78" s="50">
        <v>0</v>
      </c>
      <c r="BD78" s="49">
        <v>0</v>
      </c>
      <c r="BE78" s="50">
        <v>0</v>
      </c>
      <c r="BF78" s="49">
        <v>0</v>
      </c>
      <c r="BG78" s="50">
        <v>0</v>
      </c>
      <c r="BH78" s="49">
        <v>30</v>
      </c>
      <c r="BI78" s="50">
        <v>100</v>
      </c>
      <c r="BJ78" s="49">
        <v>30</v>
      </c>
      <c r="BK78" s="49" t="s">
        <v>5244</v>
      </c>
      <c r="BL78" s="49" t="s">
        <v>5244</v>
      </c>
      <c r="BM78" s="49" t="s">
        <v>693</v>
      </c>
      <c r="BN78" s="49" t="s">
        <v>693</v>
      </c>
      <c r="BO78" s="49"/>
      <c r="BP78" s="49"/>
      <c r="BQ78" s="123" t="s">
        <v>5575</v>
      </c>
      <c r="BR78" s="123" t="s">
        <v>5575</v>
      </c>
      <c r="BS78" s="123" t="s">
        <v>5727</v>
      </c>
      <c r="BT78" s="123" t="s">
        <v>5727</v>
      </c>
      <c r="BU78" s="2"/>
      <c r="BV78" s="3"/>
      <c r="BW78" s="3"/>
      <c r="BX78" s="3"/>
      <c r="BY78" s="3"/>
    </row>
    <row r="79" spans="1:77" ht="15">
      <c r="A79" s="65" t="s">
        <v>407</v>
      </c>
      <c r="B79" s="66"/>
      <c r="C79" s="66" t="s">
        <v>46</v>
      </c>
      <c r="D79" s="67">
        <v>10</v>
      </c>
      <c r="E79" s="69"/>
      <c r="F79" s="111" t="str">
        <f>HYPERLINK("https://pbs.twimg.com/profile_images/1334221961879298052/06Yuossk_normal.jpg")</f>
        <v>https://pbs.twimg.com/profile_images/1334221961879298052/06Yuossk_normal.jpg</v>
      </c>
      <c r="G79" s="66"/>
      <c r="H79" s="70" t="s">
        <v>407</v>
      </c>
      <c r="I79" s="71" t="s">
        <v>5832</v>
      </c>
      <c r="J79" s="71" t="s">
        <v>75</v>
      </c>
      <c r="K79" s="70" t="s">
        <v>2376</v>
      </c>
      <c r="L79" s="74">
        <v>477.0952380952381</v>
      </c>
      <c r="M79" s="75">
        <v>9713.1240234375</v>
      </c>
      <c r="N79" s="75">
        <v>4086.242431640625</v>
      </c>
      <c r="O79" s="76"/>
      <c r="P79" s="77"/>
      <c r="Q79" s="77"/>
      <c r="R79" s="104"/>
      <c r="S79" s="49">
        <v>1</v>
      </c>
      <c r="T79" s="49">
        <v>0</v>
      </c>
      <c r="U79" s="50">
        <v>0</v>
      </c>
      <c r="V79" s="50">
        <v>0.333333</v>
      </c>
      <c r="W79" s="50">
        <v>0</v>
      </c>
      <c r="X79" s="50">
        <v>0.770269</v>
      </c>
      <c r="Y79" s="50">
        <v>0</v>
      </c>
      <c r="Z79" s="50">
        <v>0</v>
      </c>
      <c r="AA79" s="72">
        <v>79</v>
      </c>
      <c r="AB79" s="72"/>
      <c r="AC79" s="73"/>
      <c r="AD79" s="89" t="s">
        <v>1552</v>
      </c>
      <c r="AE79" s="102" t="s">
        <v>1823</v>
      </c>
      <c r="AF79" s="89">
        <v>347</v>
      </c>
      <c r="AG79" s="89">
        <v>820</v>
      </c>
      <c r="AH79" s="89">
        <v>7018</v>
      </c>
      <c r="AI79" s="89">
        <v>13020</v>
      </c>
      <c r="AJ79" s="89"/>
      <c r="AK79" s="89" t="s">
        <v>2028</v>
      </c>
      <c r="AL79" s="89" t="s">
        <v>2229</v>
      </c>
      <c r="AM79" s="89"/>
      <c r="AN79" s="89"/>
      <c r="AO79" s="92">
        <v>39873.560162037036</v>
      </c>
      <c r="AP79" s="89"/>
      <c r="AQ79" s="89" t="b">
        <v>0</v>
      </c>
      <c r="AR79" s="89" t="b">
        <v>0</v>
      </c>
      <c r="AS79" s="89" t="b">
        <v>0</v>
      </c>
      <c r="AT79" s="89"/>
      <c r="AU79" s="89">
        <v>4</v>
      </c>
      <c r="AV79" s="95" t="str">
        <f>HYPERLINK("https://abs.twimg.com/images/themes/theme2/bg.gif")</f>
        <v>https://abs.twimg.com/images/themes/theme2/bg.gif</v>
      </c>
      <c r="AW79" s="89" t="b">
        <v>0</v>
      </c>
      <c r="AX79" s="89" t="s">
        <v>2300</v>
      </c>
      <c r="AY79" s="95" t="str">
        <f>HYPERLINK("https://twitter.com/anttipirttimaki")</f>
        <v>https://twitter.com/anttipirttimaki</v>
      </c>
      <c r="AZ79" s="89" t="s">
        <v>65</v>
      </c>
      <c r="BA79" s="89" t="str">
        <f>REPLACE(INDEX(GroupVertices[Group],MATCH(Vertices[[#This Row],[Vertex]],GroupVertices[Vertex],0)),1,1,"")</f>
        <v>20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408</v>
      </c>
      <c r="B80" s="66"/>
      <c r="C80" s="66" t="s">
        <v>46</v>
      </c>
      <c r="D80" s="67">
        <v>10</v>
      </c>
      <c r="E80" s="69"/>
      <c r="F80" s="111" t="str">
        <f>HYPERLINK("https://pbs.twimg.com/profile_images/1466863103925227522/JooZx6x-_normal.jpg")</f>
        <v>https://pbs.twimg.com/profile_images/1466863103925227522/JooZx6x-_normal.jpg</v>
      </c>
      <c r="G80" s="66"/>
      <c r="H80" s="70" t="s">
        <v>408</v>
      </c>
      <c r="I80" s="71" t="s">
        <v>5832</v>
      </c>
      <c r="J80" s="71" t="s">
        <v>75</v>
      </c>
      <c r="K80" s="70" t="s">
        <v>2377</v>
      </c>
      <c r="L80" s="74">
        <v>477.0952380952381</v>
      </c>
      <c r="M80" s="75">
        <v>9407.3037109375</v>
      </c>
      <c r="N80" s="75">
        <v>3547.654541015625</v>
      </c>
      <c r="O80" s="76"/>
      <c r="P80" s="77"/>
      <c r="Q80" s="77"/>
      <c r="R80" s="104"/>
      <c r="S80" s="49">
        <v>1</v>
      </c>
      <c r="T80" s="49">
        <v>0</v>
      </c>
      <c r="U80" s="50">
        <v>0</v>
      </c>
      <c r="V80" s="50">
        <v>0.333333</v>
      </c>
      <c r="W80" s="50">
        <v>0</v>
      </c>
      <c r="X80" s="50">
        <v>0.770269</v>
      </c>
      <c r="Y80" s="50">
        <v>0</v>
      </c>
      <c r="Z80" s="50">
        <v>0</v>
      </c>
      <c r="AA80" s="72">
        <v>80</v>
      </c>
      <c r="AB80" s="72"/>
      <c r="AC80" s="73"/>
      <c r="AD80" s="89" t="s">
        <v>1553</v>
      </c>
      <c r="AE80" s="102" t="s">
        <v>1359</v>
      </c>
      <c r="AF80" s="89">
        <v>769</v>
      </c>
      <c r="AG80" s="89">
        <v>285</v>
      </c>
      <c r="AH80" s="89">
        <v>9093</v>
      </c>
      <c r="AI80" s="89">
        <v>36985</v>
      </c>
      <c r="AJ80" s="89"/>
      <c r="AK80" s="89" t="s">
        <v>2029</v>
      </c>
      <c r="AL80" s="89" t="s">
        <v>2239</v>
      </c>
      <c r="AM80" s="89"/>
      <c r="AN80" s="89"/>
      <c r="AO80" s="92">
        <v>40647.94650462963</v>
      </c>
      <c r="AP80" s="95" t="str">
        <f>HYPERLINK("https://pbs.twimg.com/profile_banners/282285145/1638565351")</f>
        <v>https://pbs.twimg.com/profile_banners/282285145/1638565351</v>
      </c>
      <c r="AQ80" s="89" t="b">
        <v>1</v>
      </c>
      <c r="AR80" s="89" t="b">
        <v>0</v>
      </c>
      <c r="AS80" s="89" t="b">
        <v>0</v>
      </c>
      <c r="AT80" s="89"/>
      <c r="AU80" s="89">
        <v>1</v>
      </c>
      <c r="AV80" s="95" t="str">
        <f>HYPERLINK("https://abs.twimg.com/images/themes/theme1/bg.png")</f>
        <v>https://abs.twimg.com/images/themes/theme1/bg.png</v>
      </c>
      <c r="AW80" s="89" t="b">
        <v>0</v>
      </c>
      <c r="AX80" s="89" t="s">
        <v>2300</v>
      </c>
      <c r="AY80" s="95" t="str">
        <f>HYPERLINK("https://twitter.com/tuomejoo")</f>
        <v>https://twitter.com/tuomejoo</v>
      </c>
      <c r="AZ80" s="89" t="s">
        <v>65</v>
      </c>
      <c r="BA80" s="89" t="str">
        <f>REPLACE(INDEX(GroupVertices[Group],MATCH(Vertices[[#This Row],[Vertex]],GroupVertices[Vertex],0)),1,1,"")</f>
        <v>20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260</v>
      </c>
      <c r="B81" s="66"/>
      <c r="C81" s="66" t="s">
        <v>46</v>
      </c>
      <c r="D81" s="67"/>
      <c r="E81" s="69"/>
      <c r="F81" s="111" t="str">
        <f>HYPERLINK("https://pbs.twimg.com/profile_images/1454263850572795910/kDe8crg__normal.jpg")</f>
        <v>https://pbs.twimg.com/profile_images/1454263850572795910/kDe8crg__normal.jpg</v>
      </c>
      <c r="G81" s="66"/>
      <c r="H81" s="70" t="s">
        <v>260</v>
      </c>
      <c r="I81" s="71" t="s">
        <v>5820</v>
      </c>
      <c r="J81" s="71" t="s">
        <v>73</v>
      </c>
      <c r="K81" s="70" t="s">
        <v>2378</v>
      </c>
      <c r="L81" s="74">
        <v>1</v>
      </c>
      <c r="M81" s="75">
        <v>4579.203125</v>
      </c>
      <c r="N81" s="75">
        <v>9679.767578125</v>
      </c>
      <c r="O81" s="76"/>
      <c r="P81" s="77"/>
      <c r="Q81" s="77"/>
      <c r="R81" s="104"/>
      <c r="S81" s="49">
        <v>0</v>
      </c>
      <c r="T81" s="49">
        <v>1</v>
      </c>
      <c r="U81" s="50">
        <v>0</v>
      </c>
      <c r="V81" s="50">
        <v>0.000662</v>
      </c>
      <c r="W81" s="50">
        <v>4.7E-05</v>
      </c>
      <c r="X81" s="50">
        <v>0.522278</v>
      </c>
      <c r="Y81" s="50">
        <v>0</v>
      </c>
      <c r="Z81" s="50">
        <v>0</v>
      </c>
      <c r="AA81" s="72">
        <v>81</v>
      </c>
      <c r="AB81" s="72"/>
      <c r="AC81" s="73"/>
      <c r="AD81" s="89" t="s">
        <v>1554</v>
      </c>
      <c r="AE81" s="102" t="s">
        <v>1824</v>
      </c>
      <c r="AF81" s="89">
        <v>290</v>
      </c>
      <c r="AG81" s="89">
        <v>50</v>
      </c>
      <c r="AH81" s="89">
        <v>575</v>
      </c>
      <c r="AI81" s="89">
        <v>629</v>
      </c>
      <c r="AJ81" s="89"/>
      <c r="AK81" s="89" t="s">
        <v>2030</v>
      </c>
      <c r="AL81" s="89"/>
      <c r="AM81" s="89"/>
      <c r="AN81" s="89"/>
      <c r="AO81" s="92">
        <v>44484.14061342592</v>
      </c>
      <c r="AP81" s="89"/>
      <c r="AQ81" s="89" t="b">
        <v>1</v>
      </c>
      <c r="AR81" s="89" t="b">
        <v>0</v>
      </c>
      <c r="AS81" s="89" t="b">
        <v>0</v>
      </c>
      <c r="AT81" s="89"/>
      <c r="AU81" s="89">
        <v>0</v>
      </c>
      <c r="AV81" s="89"/>
      <c r="AW81" s="89" t="b">
        <v>0</v>
      </c>
      <c r="AX81" s="89" t="s">
        <v>2300</v>
      </c>
      <c r="AY81" s="95" t="str">
        <f>HYPERLINK("https://twitter.com/citizensawarena")</f>
        <v>https://twitter.com/citizensawarena</v>
      </c>
      <c r="AZ81" s="89" t="s">
        <v>66</v>
      </c>
      <c r="BA81" s="89" t="str">
        <f>REPLACE(INDEX(GroupVertices[Group],MATCH(Vertices[[#This Row],[Vertex]],GroupVertices[Vertex],0)),1,1,"")</f>
        <v>4</v>
      </c>
      <c r="BB81" s="49">
        <v>0</v>
      </c>
      <c r="BC81" s="50">
        <v>0</v>
      </c>
      <c r="BD81" s="49">
        <v>0</v>
      </c>
      <c r="BE81" s="50">
        <v>0</v>
      </c>
      <c r="BF81" s="49">
        <v>0</v>
      </c>
      <c r="BG81" s="50">
        <v>0</v>
      </c>
      <c r="BH81" s="49">
        <v>8</v>
      </c>
      <c r="BI81" s="50">
        <v>100</v>
      </c>
      <c r="BJ81" s="49">
        <v>8</v>
      </c>
      <c r="BK81" s="49"/>
      <c r="BL81" s="49"/>
      <c r="BM81" s="49"/>
      <c r="BN81" s="49"/>
      <c r="BO81" s="49"/>
      <c r="BP81" s="49"/>
      <c r="BQ81" s="123" t="s">
        <v>5539</v>
      </c>
      <c r="BR81" s="123" t="s">
        <v>5539</v>
      </c>
      <c r="BS81" s="123" t="s">
        <v>5691</v>
      </c>
      <c r="BT81" s="123" t="s">
        <v>5691</v>
      </c>
      <c r="BU81" s="2"/>
      <c r="BV81" s="3"/>
      <c r="BW81" s="3"/>
      <c r="BX81" s="3"/>
      <c r="BY81" s="3"/>
    </row>
    <row r="82" spans="1:77" ht="15">
      <c r="A82" s="65" t="s">
        <v>261</v>
      </c>
      <c r="B82" s="66"/>
      <c r="C82" s="66" t="s">
        <v>46</v>
      </c>
      <c r="D82" s="67"/>
      <c r="E82" s="69"/>
      <c r="F82" s="111" t="str">
        <f>HYPERLINK("https://pbs.twimg.com/profile_images/1457449439241646088/M4JEODp7_normal.jpg")</f>
        <v>https://pbs.twimg.com/profile_images/1457449439241646088/M4JEODp7_normal.jpg</v>
      </c>
      <c r="G82" s="66"/>
      <c r="H82" s="70" t="s">
        <v>261</v>
      </c>
      <c r="I82" s="71" t="s">
        <v>5818</v>
      </c>
      <c r="J82" s="71" t="s">
        <v>73</v>
      </c>
      <c r="K82" s="70" t="s">
        <v>2379</v>
      </c>
      <c r="L82" s="74">
        <v>1</v>
      </c>
      <c r="M82" s="75">
        <v>1638.2169189453125</v>
      </c>
      <c r="N82" s="75">
        <v>9190.2197265625</v>
      </c>
      <c r="O82" s="76"/>
      <c r="P82" s="77"/>
      <c r="Q82" s="77"/>
      <c r="R82" s="104"/>
      <c r="S82" s="49">
        <v>0</v>
      </c>
      <c r="T82" s="49">
        <v>2</v>
      </c>
      <c r="U82" s="50">
        <v>488</v>
      </c>
      <c r="V82" s="50">
        <v>0.000892</v>
      </c>
      <c r="W82" s="50">
        <v>0.000452</v>
      </c>
      <c r="X82" s="50">
        <v>0.771109</v>
      </c>
      <c r="Y82" s="50">
        <v>0</v>
      </c>
      <c r="Z82" s="50">
        <v>0</v>
      </c>
      <c r="AA82" s="72">
        <v>82</v>
      </c>
      <c r="AB82" s="72"/>
      <c r="AC82" s="73"/>
      <c r="AD82" s="89" t="s">
        <v>1555</v>
      </c>
      <c r="AE82" s="102" t="s">
        <v>1825</v>
      </c>
      <c r="AF82" s="89">
        <v>33</v>
      </c>
      <c r="AG82" s="89">
        <v>41</v>
      </c>
      <c r="AH82" s="89">
        <v>3636</v>
      </c>
      <c r="AI82" s="89">
        <v>37</v>
      </c>
      <c r="AJ82" s="89"/>
      <c r="AK82" s="89" t="s">
        <v>2031</v>
      </c>
      <c r="AL82" s="89"/>
      <c r="AM82" s="89"/>
      <c r="AN82" s="89"/>
      <c r="AO82" s="92">
        <v>44067.79454861111</v>
      </c>
      <c r="AP82" s="89"/>
      <c r="AQ82" s="89" t="b">
        <v>1</v>
      </c>
      <c r="AR82" s="89" t="b">
        <v>0</v>
      </c>
      <c r="AS82" s="89" t="b">
        <v>0</v>
      </c>
      <c r="AT82" s="89"/>
      <c r="AU82" s="89">
        <v>1</v>
      </c>
      <c r="AV82" s="89"/>
      <c r="AW82" s="89" t="b">
        <v>0</v>
      </c>
      <c r="AX82" s="89" t="s">
        <v>2300</v>
      </c>
      <c r="AY82" s="95" t="str">
        <f>HYPERLINK("https://twitter.com/aikuinen1")</f>
        <v>https://twitter.com/aikuinen1</v>
      </c>
      <c r="AZ82" s="89" t="s">
        <v>66</v>
      </c>
      <c r="BA82" s="89" t="str">
        <f>REPLACE(INDEX(GroupVertices[Group],MATCH(Vertices[[#This Row],[Vertex]],GroupVertices[Vertex],0)),1,1,"")</f>
        <v>1</v>
      </c>
      <c r="BB82" s="49">
        <v>0</v>
      </c>
      <c r="BC82" s="50">
        <v>0</v>
      </c>
      <c r="BD82" s="49">
        <v>0</v>
      </c>
      <c r="BE82" s="50">
        <v>0</v>
      </c>
      <c r="BF82" s="49">
        <v>0</v>
      </c>
      <c r="BG82" s="50">
        <v>0</v>
      </c>
      <c r="BH82" s="49">
        <v>29</v>
      </c>
      <c r="BI82" s="50">
        <v>100</v>
      </c>
      <c r="BJ82" s="49">
        <v>29</v>
      </c>
      <c r="BK82" s="49"/>
      <c r="BL82" s="49"/>
      <c r="BM82" s="49"/>
      <c r="BN82" s="49"/>
      <c r="BO82" s="49"/>
      <c r="BP82" s="49"/>
      <c r="BQ82" s="123" t="s">
        <v>5576</v>
      </c>
      <c r="BR82" s="123" t="s">
        <v>5661</v>
      </c>
      <c r="BS82" s="123" t="s">
        <v>5728</v>
      </c>
      <c r="BT82" s="123" t="s">
        <v>5728</v>
      </c>
      <c r="BU82" s="2"/>
      <c r="BV82" s="3"/>
      <c r="BW82" s="3"/>
      <c r="BX82" s="3"/>
      <c r="BY82" s="3"/>
    </row>
    <row r="83" spans="1:77" ht="15">
      <c r="A83" s="65" t="s">
        <v>409</v>
      </c>
      <c r="B83" s="66"/>
      <c r="C83" s="66" t="s">
        <v>46</v>
      </c>
      <c r="D83" s="67">
        <v>10</v>
      </c>
      <c r="E83" s="69"/>
      <c r="F83" s="111" t="str">
        <f>HYPERLINK("https://pbs.twimg.com/profile_images/1118891184376680453/MoarZzUr_normal.jpg")</f>
        <v>https://pbs.twimg.com/profile_images/1118891184376680453/MoarZzUr_normal.jpg</v>
      </c>
      <c r="G83" s="66"/>
      <c r="H83" s="70" t="s">
        <v>409</v>
      </c>
      <c r="I83" s="71" t="s">
        <v>5818</v>
      </c>
      <c r="J83" s="71" t="s">
        <v>75</v>
      </c>
      <c r="K83" s="70" t="s">
        <v>2380</v>
      </c>
      <c r="L83" s="74">
        <v>477.0952380952381</v>
      </c>
      <c r="M83" s="75">
        <v>1604.4722900390625</v>
      </c>
      <c r="N83" s="75">
        <v>9764.8310546875</v>
      </c>
      <c r="O83" s="76"/>
      <c r="P83" s="77"/>
      <c r="Q83" s="77"/>
      <c r="R83" s="104"/>
      <c r="S83" s="49">
        <v>1</v>
      </c>
      <c r="T83" s="49">
        <v>0</v>
      </c>
      <c r="U83" s="50">
        <v>0</v>
      </c>
      <c r="V83" s="50">
        <v>0.000733</v>
      </c>
      <c r="W83" s="50">
        <v>5.3E-05</v>
      </c>
      <c r="X83" s="50">
        <v>0.477721</v>
      </c>
      <c r="Y83" s="50">
        <v>0</v>
      </c>
      <c r="Z83" s="50">
        <v>0</v>
      </c>
      <c r="AA83" s="72">
        <v>83</v>
      </c>
      <c r="AB83" s="72"/>
      <c r="AC83" s="73"/>
      <c r="AD83" s="89" t="s">
        <v>1556</v>
      </c>
      <c r="AE83" s="102" t="s">
        <v>1360</v>
      </c>
      <c r="AF83" s="89">
        <v>5</v>
      </c>
      <c r="AG83" s="89">
        <v>5336</v>
      </c>
      <c r="AH83" s="89">
        <v>5239</v>
      </c>
      <c r="AI83" s="89">
        <v>13</v>
      </c>
      <c r="AJ83" s="89"/>
      <c r="AK83" s="89" t="s">
        <v>2032</v>
      </c>
      <c r="AL83" s="89" t="s">
        <v>2240</v>
      </c>
      <c r="AM83" s="95" t="str">
        <f>HYPERLINK("https://t.co/qu9AK6HvSX")</f>
        <v>https://t.co/qu9AK6HvSX</v>
      </c>
      <c r="AN83" s="89"/>
      <c r="AO83" s="92">
        <v>43573.61907407407</v>
      </c>
      <c r="AP83" s="89"/>
      <c r="AQ83" s="89" t="b">
        <v>1</v>
      </c>
      <c r="AR83" s="89" t="b">
        <v>0</v>
      </c>
      <c r="AS83" s="89" t="b">
        <v>0</v>
      </c>
      <c r="AT83" s="89"/>
      <c r="AU83" s="89">
        <v>14</v>
      </c>
      <c r="AV83" s="89"/>
      <c r="AW83" s="89" t="b">
        <v>0</v>
      </c>
      <c r="AX83" s="89" t="s">
        <v>2300</v>
      </c>
      <c r="AY83" s="95" t="str">
        <f>HYPERLINK("https://twitter.com/viren_matti")</f>
        <v>https://twitter.com/viren_matti</v>
      </c>
      <c r="AZ83" s="89" t="s">
        <v>65</v>
      </c>
      <c r="BA83" s="8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262</v>
      </c>
      <c r="B84" s="66"/>
      <c r="C84" s="66" t="s">
        <v>46</v>
      </c>
      <c r="D84" s="67"/>
      <c r="E84" s="69"/>
      <c r="F84" s="111" t="str">
        <f>HYPERLINK("https://pbs.twimg.com/profile_images/1355345948118020100/1_WNEZNd_normal.jpg")</f>
        <v>https://pbs.twimg.com/profile_images/1355345948118020100/1_WNEZNd_normal.jpg</v>
      </c>
      <c r="G84" s="66"/>
      <c r="H84" s="70" t="s">
        <v>262</v>
      </c>
      <c r="I84" s="71" t="s">
        <v>5827</v>
      </c>
      <c r="J84" s="71" t="s">
        <v>73</v>
      </c>
      <c r="K84" s="70" t="s">
        <v>2381</v>
      </c>
      <c r="L84" s="74">
        <v>1</v>
      </c>
      <c r="M84" s="75">
        <v>5891.2978515625</v>
      </c>
      <c r="N84" s="75">
        <v>572.5804443359375</v>
      </c>
      <c r="O84" s="76"/>
      <c r="P84" s="77"/>
      <c r="Q84" s="77"/>
      <c r="R84" s="104"/>
      <c r="S84" s="49">
        <v>0</v>
      </c>
      <c r="T84" s="49">
        <v>1</v>
      </c>
      <c r="U84" s="50">
        <v>0</v>
      </c>
      <c r="V84" s="50">
        <v>0.000587</v>
      </c>
      <c r="W84" s="50">
        <v>3.7E-05</v>
      </c>
      <c r="X84" s="50">
        <v>0.447324</v>
      </c>
      <c r="Y84" s="50">
        <v>0</v>
      </c>
      <c r="Z84" s="50">
        <v>0</v>
      </c>
      <c r="AA84" s="72">
        <v>84</v>
      </c>
      <c r="AB84" s="72"/>
      <c r="AC84" s="73"/>
      <c r="AD84" s="89" t="s">
        <v>1557</v>
      </c>
      <c r="AE84" s="102" t="s">
        <v>1826</v>
      </c>
      <c r="AF84" s="89">
        <v>68</v>
      </c>
      <c r="AG84" s="89">
        <v>120</v>
      </c>
      <c r="AH84" s="89">
        <v>6972</v>
      </c>
      <c r="AI84" s="89">
        <v>11094</v>
      </c>
      <c r="AJ84" s="89"/>
      <c r="AK84" s="89" t="s">
        <v>2033</v>
      </c>
      <c r="AL84" s="89" t="s">
        <v>2241</v>
      </c>
      <c r="AM84" s="89"/>
      <c r="AN84" s="89"/>
      <c r="AO84" s="92">
        <v>43099.01731481482</v>
      </c>
      <c r="AP84" s="95" t="str">
        <f>HYPERLINK("https://pbs.twimg.com/profile_banners/946899871759585280/1595776817")</f>
        <v>https://pbs.twimg.com/profile_banners/946899871759585280/1595776817</v>
      </c>
      <c r="AQ84" s="89" t="b">
        <v>1</v>
      </c>
      <c r="AR84" s="89" t="b">
        <v>0</v>
      </c>
      <c r="AS84" s="89" t="b">
        <v>0</v>
      </c>
      <c r="AT84" s="89"/>
      <c r="AU84" s="89">
        <v>0</v>
      </c>
      <c r="AV84" s="89"/>
      <c r="AW84" s="89" t="b">
        <v>0</v>
      </c>
      <c r="AX84" s="89" t="s">
        <v>2300</v>
      </c>
      <c r="AY84" s="95" t="str">
        <f>HYPERLINK("https://twitter.com/lainerjlaine")</f>
        <v>https://twitter.com/lainerjlaine</v>
      </c>
      <c r="AZ84" s="89" t="s">
        <v>66</v>
      </c>
      <c r="BA84" s="89" t="str">
        <f>REPLACE(INDEX(GroupVertices[Group],MATCH(Vertices[[#This Row],[Vertex]],GroupVertices[Vertex],0)),1,1,"")</f>
        <v>7</v>
      </c>
      <c r="BB84" s="49">
        <v>0</v>
      </c>
      <c r="BC84" s="50">
        <v>0</v>
      </c>
      <c r="BD84" s="49">
        <v>0</v>
      </c>
      <c r="BE84" s="50">
        <v>0</v>
      </c>
      <c r="BF84" s="49">
        <v>0</v>
      </c>
      <c r="BG84" s="50">
        <v>0</v>
      </c>
      <c r="BH84" s="49">
        <v>30</v>
      </c>
      <c r="BI84" s="50">
        <v>100</v>
      </c>
      <c r="BJ84" s="49">
        <v>30</v>
      </c>
      <c r="BK84" s="49"/>
      <c r="BL84" s="49"/>
      <c r="BM84" s="49"/>
      <c r="BN84" s="49"/>
      <c r="BO84" s="49"/>
      <c r="BP84" s="49"/>
      <c r="BQ84" s="123" t="s">
        <v>5577</v>
      </c>
      <c r="BR84" s="123" t="s">
        <v>5577</v>
      </c>
      <c r="BS84" s="123" t="s">
        <v>5729</v>
      </c>
      <c r="BT84" s="123" t="s">
        <v>5729</v>
      </c>
      <c r="BU84" s="2"/>
      <c r="BV84" s="3"/>
      <c r="BW84" s="3"/>
      <c r="BX84" s="3"/>
      <c r="BY84" s="3"/>
    </row>
    <row r="85" spans="1:77" ht="15">
      <c r="A85" s="65" t="s">
        <v>263</v>
      </c>
      <c r="B85" s="66"/>
      <c r="C85" s="66" t="s">
        <v>46</v>
      </c>
      <c r="D85" s="67"/>
      <c r="E85" s="69"/>
      <c r="F85" s="111" t="str">
        <f>HYPERLINK("https://pbs.twimg.com/profile_images/1465587204839948289/mQoNZmYQ_normal.jpg")</f>
        <v>https://pbs.twimg.com/profile_images/1465587204839948289/mQoNZmYQ_normal.jpg</v>
      </c>
      <c r="G85" s="66"/>
      <c r="H85" s="70" t="s">
        <v>263</v>
      </c>
      <c r="I85" s="71" t="s">
        <v>5832</v>
      </c>
      <c r="J85" s="71" t="s">
        <v>73</v>
      </c>
      <c r="K85" s="70" t="s">
        <v>2382</v>
      </c>
      <c r="L85" s="74">
        <v>1</v>
      </c>
      <c r="M85" s="75">
        <v>8662.697265625</v>
      </c>
      <c r="N85" s="75">
        <v>4086.242431640625</v>
      </c>
      <c r="O85" s="76"/>
      <c r="P85" s="77"/>
      <c r="Q85" s="77"/>
      <c r="R85" s="104"/>
      <c r="S85" s="49">
        <v>0</v>
      </c>
      <c r="T85" s="49">
        <v>2</v>
      </c>
      <c r="U85" s="50">
        <v>2</v>
      </c>
      <c r="V85" s="50">
        <v>0.5</v>
      </c>
      <c r="W85" s="50">
        <v>0</v>
      </c>
      <c r="X85" s="50">
        <v>1.459457</v>
      </c>
      <c r="Y85" s="50">
        <v>0</v>
      </c>
      <c r="Z85" s="50">
        <v>0</v>
      </c>
      <c r="AA85" s="72">
        <v>85</v>
      </c>
      <c r="AB85" s="72"/>
      <c r="AC85" s="73"/>
      <c r="AD85" s="89" t="s">
        <v>1558</v>
      </c>
      <c r="AE85" s="102" t="s">
        <v>1827</v>
      </c>
      <c r="AF85" s="89">
        <v>481</v>
      </c>
      <c r="AG85" s="89">
        <v>221</v>
      </c>
      <c r="AH85" s="89">
        <v>5334</v>
      </c>
      <c r="AI85" s="89">
        <v>13117</v>
      </c>
      <c r="AJ85" s="89"/>
      <c r="AK85" s="89" t="s">
        <v>2034</v>
      </c>
      <c r="AL85" s="89"/>
      <c r="AM85" s="89"/>
      <c r="AN85" s="89"/>
      <c r="AO85" s="92">
        <v>43602.739907407406</v>
      </c>
      <c r="AP85" s="95" t="str">
        <f>HYPERLINK("https://pbs.twimg.com/profile_banners/1129442825349804033/1561977614")</f>
        <v>https://pbs.twimg.com/profile_banners/1129442825349804033/1561977614</v>
      </c>
      <c r="AQ85" s="89" t="b">
        <v>1</v>
      </c>
      <c r="AR85" s="89" t="b">
        <v>0</v>
      </c>
      <c r="AS85" s="89" t="b">
        <v>0</v>
      </c>
      <c r="AT85" s="89"/>
      <c r="AU85" s="89">
        <v>0</v>
      </c>
      <c r="AV85" s="89"/>
      <c r="AW85" s="89" t="b">
        <v>0</v>
      </c>
      <c r="AX85" s="89" t="s">
        <v>2300</v>
      </c>
      <c r="AY85" s="95" t="str">
        <f>HYPERLINK("https://twitter.com/finnelandia")</f>
        <v>https://twitter.com/finnelandia</v>
      </c>
      <c r="AZ85" s="89" t="s">
        <v>66</v>
      </c>
      <c r="BA85" s="89" t="str">
        <f>REPLACE(INDEX(GroupVertices[Group],MATCH(Vertices[[#This Row],[Vertex]],GroupVertices[Vertex],0)),1,1,"")</f>
        <v>19</v>
      </c>
      <c r="BB85" s="49">
        <v>0</v>
      </c>
      <c r="BC85" s="50">
        <v>0</v>
      </c>
      <c r="BD85" s="49">
        <v>0</v>
      </c>
      <c r="BE85" s="50">
        <v>0</v>
      </c>
      <c r="BF85" s="49">
        <v>0</v>
      </c>
      <c r="BG85" s="50">
        <v>0</v>
      </c>
      <c r="BH85" s="49">
        <v>16</v>
      </c>
      <c r="BI85" s="50">
        <v>100</v>
      </c>
      <c r="BJ85" s="49">
        <v>16</v>
      </c>
      <c r="BK85" s="49"/>
      <c r="BL85" s="49"/>
      <c r="BM85" s="49"/>
      <c r="BN85" s="49"/>
      <c r="BO85" s="49"/>
      <c r="BP85" s="49"/>
      <c r="BQ85" s="123" t="s">
        <v>5578</v>
      </c>
      <c r="BR85" s="123" t="s">
        <v>5578</v>
      </c>
      <c r="BS85" s="123" t="s">
        <v>5730</v>
      </c>
      <c r="BT85" s="123" t="s">
        <v>5730</v>
      </c>
      <c r="BU85" s="2"/>
      <c r="BV85" s="3"/>
      <c r="BW85" s="3"/>
      <c r="BX85" s="3"/>
      <c r="BY85" s="3"/>
    </row>
    <row r="86" spans="1:77" ht="15">
      <c r="A86" s="65" t="s">
        <v>410</v>
      </c>
      <c r="B86" s="66"/>
      <c r="C86" s="66" t="s">
        <v>46</v>
      </c>
      <c r="D86" s="67">
        <v>10</v>
      </c>
      <c r="E86" s="69"/>
      <c r="F86" s="111" t="str">
        <f>HYPERLINK("https://pbs.twimg.com/profile_images/1419375230791860226/kSWAGCGb_normal.jpg")</f>
        <v>https://pbs.twimg.com/profile_images/1419375230791860226/kSWAGCGb_normal.jpg</v>
      </c>
      <c r="G86" s="66"/>
      <c r="H86" s="70" t="s">
        <v>410</v>
      </c>
      <c r="I86" s="71" t="s">
        <v>5832</v>
      </c>
      <c r="J86" s="71" t="s">
        <v>75</v>
      </c>
      <c r="K86" s="70" t="s">
        <v>2383</v>
      </c>
      <c r="L86" s="74">
        <v>477.0952380952381</v>
      </c>
      <c r="M86" s="75">
        <v>8968.517578125</v>
      </c>
      <c r="N86" s="75">
        <v>4086.242431640625</v>
      </c>
      <c r="O86" s="76"/>
      <c r="P86" s="77"/>
      <c r="Q86" s="77"/>
      <c r="R86" s="104"/>
      <c r="S86" s="49">
        <v>1</v>
      </c>
      <c r="T86" s="49">
        <v>0</v>
      </c>
      <c r="U86" s="50">
        <v>0</v>
      </c>
      <c r="V86" s="50">
        <v>0.333333</v>
      </c>
      <c r="W86" s="50">
        <v>0</v>
      </c>
      <c r="X86" s="50">
        <v>0.770269</v>
      </c>
      <c r="Y86" s="50">
        <v>0</v>
      </c>
      <c r="Z86" s="50">
        <v>0</v>
      </c>
      <c r="AA86" s="72">
        <v>86</v>
      </c>
      <c r="AB86" s="72"/>
      <c r="AC86" s="73"/>
      <c r="AD86" s="89" t="s">
        <v>1559</v>
      </c>
      <c r="AE86" s="102" t="s">
        <v>1828</v>
      </c>
      <c r="AF86" s="89">
        <v>5002</v>
      </c>
      <c r="AG86" s="89">
        <v>1547</v>
      </c>
      <c r="AH86" s="89">
        <v>70588</v>
      </c>
      <c r="AI86" s="89">
        <v>159738</v>
      </c>
      <c r="AJ86" s="89"/>
      <c r="AK86" s="89"/>
      <c r="AL86" s="89" t="s">
        <v>2242</v>
      </c>
      <c r="AM86" s="95" t="str">
        <f>HYPERLINK("https://t.co/eqCOXk6dQI")</f>
        <v>https://t.co/eqCOXk6dQI</v>
      </c>
      <c r="AN86" s="89"/>
      <c r="AO86" s="92">
        <v>40691.509664351855</v>
      </c>
      <c r="AP86" s="95" t="str">
        <f>HYPERLINK("https://pbs.twimg.com/profile_banners/306767271/1590419070")</f>
        <v>https://pbs.twimg.com/profile_banners/306767271/1590419070</v>
      </c>
      <c r="AQ86" s="89" t="b">
        <v>1</v>
      </c>
      <c r="AR86" s="89" t="b">
        <v>0</v>
      </c>
      <c r="AS86" s="89" t="b">
        <v>0</v>
      </c>
      <c r="AT86" s="89"/>
      <c r="AU86" s="89">
        <v>15</v>
      </c>
      <c r="AV86" s="95" t="str">
        <f>HYPERLINK("https://abs.twimg.com/images/themes/theme1/bg.png")</f>
        <v>https://abs.twimg.com/images/themes/theme1/bg.png</v>
      </c>
      <c r="AW86" s="89" t="b">
        <v>0</v>
      </c>
      <c r="AX86" s="89" t="s">
        <v>2300</v>
      </c>
      <c r="AY86" s="95" t="str">
        <f>HYPERLINK("https://twitter.com/zin_zah")</f>
        <v>https://twitter.com/zin_zah</v>
      </c>
      <c r="AZ86" s="89" t="s">
        <v>65</v>
      </c>
      <c r="BA86" s="89" t="str">
        <f>REPLACE(INDEX(GroupVertices[Group],MATCH(Vertices[[#This Row],[Vertex]],GroupVertices[Vertex],0)),1,1,"")</f>
        <v>19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411</v>
      </c>
      <c r="B87" s="66"/>
      <c r="C87" s="66" t="s">
        <v>46</v>
      </c>
      <c r="D87" s="67">
        <v>10</v>
      </c>
      <c r="E87" s="69"/>
      <c r="F87" s="111" t="str">
        <f>HYPERLINK("https://pbs.twimg.com/profile_images/495105222621278208/hqGkjZ5-_normal.jpeg")</f>
        <v>https://pbs.twimg.com/profile_images/495105222621278208/hqGkjZ5-_normal.jpeg</v>
      </c>
      <c r="G87" s="66"/>
      <c r="H87" s="70" t="s">
        <v>411</v>
      </c>
      <c r="I87" s="71" t="s">
        <v>5832</v>
      </c>
      <c r="J87" s="71" t="s">
        <v>75</v>
      </c>
      <c r="K87" s="70" t="s">
        <v>2384</v>
      </c>
      <c r="L87" s="74">
        <v>477.0952380952381</v>
      </c>
      <c r="M87" s="75">
        <v>8662.697265625</v>
      </c>
      <c r="N87" s="75">
        <v>3547.654541015625</v>
      </c>
      <c r="O87" s="76"/>
      <c r="P87" s="77"/>
      <c r="Q87" s="77"/>
      <c r="R87" s="104"/>
      <c r="S87" s="49">
        <v>1</v>
      </c>
      <c r="T87" s="49">
        <v>0</v>
      </c>
      <c r="U87" s="50">
        <v>0</v>
      </c>
      <c r="V87" s="50">
        <v>0.333333</v>
      </c>
      <c r="W87" s="50">
        <v>0</v>
      </c>
      <c r="X87" s="50">
        <v>0.770269</v>
      </c>
      <c r="Y87" s="50">
        <v>0</v>
      </c>
      <c r="Z87" s="50">
        <v>0</v>
      </c>
      <c r="AA87" s="72">
        <v>87</v>
      </c>
      <c r="AB87" s="72"/>
      <c r="AC87" s="73"/>
      <c r="AD87" s="89" t="s">
        <v>1560</v>
      </c>
      <c r="AE87" s="102" t="s">
        <v>1362</v>
      </c>
      <c r="AF87" s="89">
        <v>56</v>
      </c>
      <c r="AG87" s="89">
        <v>19</v>
      </c>
      <c r="AH87" s="89">
        <v>2291</v>
      </c>
      <c r="AI87" s="89">
        <v>132</v>
      </c>
      <c r="AJ87" s="89"/>
      <c r="AK87" s="89" t="s">
        <v>2035</v>
      </c>
      <c r="AL87" s="89"/>
      <c r="AM87" s="89"/>
      <c r="AN87" s="89"/>
      <c r="AO87" s="92">
        <v>41790.30724537037</v>
      </c>
      <c r="AP87" s="89"/>
      <c r="AQ87" s="89" t="b">
        <v>1</v>
      </c>
      <c r="AR87" s="89" t="b">
        <v>0</v>
      </c>
      <c r="AS87" s="89" t="b">
        <v>0</v>
      </c>
      <c r="AT87" s="89"/>
      <c r="AU87" s="89">
        <v>0</v>
      </c>
      <c r="AV87" s="95" t="str">
        <f>HYPERLINK("https://abs.twimg.com/images/themes/theme1/bg.png")</f>
        <v>https://abs.twimg.com/images/themes/theme1/bg.png</v>
      </c>
      <c r="AW87" s="89" t="b">
        <v>0</v>
      </c>
      <c r="AX87" s="89" t="s">
        <v>2300</v>
      </c>
      <c r="AY87" s="95" t="str">
        <f>HYPERLINK("https://twitter.com/teuraskarju")</f>
        <v>https://twitter.com/teuraskarju</v>
      </c>
      <c r="AZ87" s="89" t="s">
        <v>65</v>
      </c>
      <c r="BA87" s="89" t="str">
        <f>REPLACE(INDEX(GroupVertices[Group],MATCH(Vertices[[#This Row],[Vertex]],GroupVertices[Vertex],0)),1,1,"")</f>
        <v>19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264</v>
      </c>
      <c r="B88" s="66"/>
      <c r="C88" s="66" t="s">
        <v>46</v>
      </c>
      <c r="D88" s="67"/>
      <c r="E88" s="69"/>
      <c r="F88" s="111" t="str">
        <f>HYPERLINK("https://pbs.twimg.com/profile_images/1418608627049537536/Iz1gOS4q_normal.jpg")</f>
        <v>https://pbs.twimg.com/profile_images/1418608627049537536/Iz1gOS4q_normal.jpg</v>
      </c>
      <c r="G88" s="66"/>
      <c r="H88" s="70" t="s">
        <v>264</v>
      </c>
      <c r="I88" s="71" t="s">
        <v>5833</v>
      </c>
      <c r="J88" s="71" t="s">
        <v>73</v>
      </c>
      <c r="K88" s="70" t="s">
        <v>2385</v>
      </c>
      <c r="L88" s="74">
        <v>1</v>
      </c>
      <c r="M88" s="75">
        <v>8423.359375</v>
      </c>
      <c r="N88" s="75">
        <v>1838.2236328125</v>
      </c>
      <c r="O88" s="76"/>
      <c r="P88" s="77"/>
      <c r="Q88" s="77"/>
      <c r="R88" s="104"/>
      <c r="S88" s="49">
        <v>0</v>
      </c>
      <c r="T88" s="49">
        <v>1</v>
      </c>
      <c r="U88" s="50">
        <v>0</v>
      </c>
      <c r="V88" s="50">
        <v>1</v>
      </c>
      <c r="W88" s="50">
        <v>0</v>
      </c>
      <c r="X88" s="50">
        <v>0.999998</v>
      </c>
      <c r="Y88" s="50">
        <v>0</v>
      </c>
      <c r="Z88" s="50">
        <v>0</v>
      </c>
      <c r="AA88" s="72">
        <v>88</v>
      </c>
      <c r="AB88" s="72"/>
      <c r="AC88" s="73"/>
      <c r="AD88" s="89" t="s">
        <v>1561</v>
      </c>
      <c r="AE88" s="102" t="s">
        <v>1829</v>
      </c>
      <c r="AF88" s="89">
        <v>1326</v>
      </c>
      <c r="AG88" s="89">
        <v>167</v>
      </c>
      <c r="AH88" s="89">
        <v>4872</v>
      </c>
      <c r="AI88" s="89">
        <v>6539</v>
      </c>
      <c r="AJ88" s="89"/>
      <c r="AK88" s="89"/>
      <c r="AL88" s="89"/>
      <c r="AM88" s="89"/>
      <c r="AN88" s="89"/>
      <c r="AO88" s="92">
        <v>43196.85034722222</v>
      </c>
      <c r="AP88" s="95" t="str">
        <f>HYPERLINK("https://pbs.twimg.com/profile_banners/982353374455783424/1621529804")</f>
        <v>https://pbs.twimg.com/profile_banners/982353374455783424/1621529804</v>
      </c>
      <c r="AQ88" s="89" t="b">
        <v>1</v>
      </c>
      <c r="AR88" s="89" t="b">
        <v>0</v>
      </c>
      <c r="AS88" s="89" t="b">
        <v>1</v>
      </c>
      <c r="AT88" s="89"/>
      <c r="AU88" s="89">
        <v>3</v>
      </c>
      <c r="AV88" s="89"/>
      <c r="AW88" s="89" t="b">
        <v>0</v>
      </c>
      <c r="AX88" s="89" t="s">
        <v>2300</v>
      </c>
      <c r="AY88" s="95" t="str">
        <f>HYPERLINK("https://twitter.com/taskinenvili")</f>
        <v>https://twitter.com/taskinenvili</v>
      </c>
      <c r="AZ88" s="89" t="s">
        <v>66</v>
      </c>
      <c r="BA88" s="89" t="str">
        <f>REPLACE(INDEX(GroupVertices[Group],MATCH(Vertices[[#This Row],[Vertex]],GroupVertices[Vertex],0)),1,1,"")</f>
        <v>25</v>
      </c>
      <c r="BB88" s="49">
        <v>0</v>
      </c>
      <c r="BC88" s="50">
        <v>0</v>
      </c>
      <c r="BD88" s="49">
        <v>0</v>
      </c>
      <c r="BE88" s="50">
        <v>0</v>
      </c>
      <c r="BF88" s="49">
        <v>0</v>
      </c>
      <c r="BG88" s="50">
        <v>0</v>
      </c>
      <c r="BH88" s="49">
        <v>54</v>
      </c>
      <c r="BI88" s="50">
        <v>100</v>
      </c>
      <c r="BJ88" s="49">
        <v>54</v>
      </c>
      <c r="BK88" s="49"/>
      <c r="BL88" s="49"/>
      <c r="BM88" s="49"/>
      <c r="BN88" s="49"/>
      <c r="BO88" s="49"/>
      <c r="BP88" s="49"/>
      <c r="BQ88" s="123" t="s">
        <v>5579</v>
      </c>
      <c r="BR88" s="123" t="s">
        <v>5662</v>
      </c>
      <c r="BS88" s="123" t="s">
        <v>5731</v>
      </c>
      <c r="BT88" s="123" t="s">
        <v>5731</v>
      </c>
      <c r="BU88" s="2"/>
      <c r="BV88" s="3"/>
      <c r="BW88" s="3"/>
      <c r="BX88" s="3"/>
      <c r="BY88" s="3"/>
    </row>
    <row r="89" spans="1:77" ht="15">
      <c r="A89" s="65" t="s">
        <v>412</v>
      </c>
      <c r="B89" s="66"/>
      <c r="C89" s="66" t="s">
        <v>46</v>
      </c>
      <c r="D89" s="67">
        <v>10</v>
      </c>
      <c r="E89" s="69"/>
      <c r="F89" s="111" t="str">
        <f>HYPERLINK("https://pbs.twimg.com/profile_images/510032180555161601/qcTCambQ_normal.jpeg")</f>
        <v>https://pbs.twimg.com/profile_images/510032180555161601/qcTCambQ_normal.jpeg</v>
      </c>
      <c r="G89" s="66"/>
      <c r="H89" s="70" t="s">
        <v>412</v>
      </c>
      <c r="I89" s="71" t="s">
        <v>5833</v>
      </c>
      <c r="J89" s="71" t="s">
        <v>75</v>
      </c>
      <c r="K89" s="70" t="s">
        <v>2386</v>
      </c>
      <c r="L89" s="74">
        <v>477.0952380952381</v>
      </c>
      <c r="M89" s="75">
        <v>8423.359375</v>
      </c>
      <c r="N89" s="75">
        <v>1440.136962890625</v>
      </c>
      <c r="O89" s="76"/>
      <c r="P89" s="77"/>
      <c r="Q89" s="77"/>
      <c r="R89" s="104"/>
      <c r="S89" s="49">
        <v>1</v>
      </c>
      <c r="T89" s="49">
        <v>0</v>
      </c>
      <c r="U89" s="50">
        <v>0</v>
      </c>
      <c r="V89" s="50">
        <v>1</v>
      </c>
      <c r="W89" s="50">
        <v>0</v>
      </c>
      <c r="X89" s="50">
        <v>0.999998</v>
      </c>
      <c r="Y89" s="50">
        <v>0</v>
      </c>
      <c r="Z89" s="50">
        <v>0</v>
      </c>
      <c r="AA89" s="72">
        <v>89</v>
      </c>
      <c r="AB89" s="72"/>
      <c r="AC89" s="73"/>
      <c r="AD89" s="89" t="s">
        <v>1562</v>
      </c>
      <c r="AE89" s="102" t="s">
        <v>1363</v>
      </c>
      <c r="AF89" s="89">
        <v>414</v>
      </c>
      <c r="AG89" s="89">
        <v>43986</v>
      </c>
      <c r="AH89" s="89">
        <v>11919</v>
      </c>
      <c r="AI89" s="89">
        <v>32985</v>
      </c>
      <c r="AJ89" s="89"/>
      <c r="AK89" s="89" t="s">
        <v>2036</v>
      </c>
      <c r="AL89" s="89"/>
      <c r="AM89" s="95" t="str">
        <f>HYPERLINK("https://t.co/sZdDw9pO6g")</f>
        <v>https://t.co/sZdDw9pO6g</v>
      </c>
      <c r="AN89" s="89"/>
      <c r="AO89" s="92">
        <v>41565.41752314815</v>
      </c>
      <c r="AP89" s="89"/>
      <c r="AQ89" s="89" t="b">
        <v>1</v>
      </c>
      <c r="AR89" s="89" t="b">
        <v>0</v>
      </c>
      <c r="AS89" s="89" t="b">
        <v>1</v>
      </c>
      <c r="AT89" s="89"/>
      <c r="AU89" s="89">
        <v>108</v>
      </c>
      <c r="AV89" s="95" t="str">
        <f>HYPERLINK("https://abs.twimg.com/images/themes/theme1/bg.png")</f>
        <v>https://abs.twimg.com/images/themes/theme1/bg.png</v>
      </c>
      <c r="AW89" s="89" t="b">
        <v>1</v>
      </c>
      <c r="AX89" s="89" t="s">
        <v>2300</v>
      </c>
      <c r="AY89" s="95" t="str">
        <f>HYPERLINK("https://twitter.com/tapio_suominen")</f>
        <v>https://twitter.com/tapio_suominen</v>
      </c>
      <c r="AZ89" s="89" t="s">
        <v>65</v>
      </c>
      <c r="BA89" s="89" t="str">
        <f>REPLACE(INDEX(GroupVertices[Group],MATCH(Vertices[[#This Row],[Vertex]],GroupVertices[Vertex],0)),1,1,"")</f>
        <v>25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265</v>
      </c>
      <c r="B90" s="66"/>
      <c r="C90" s="66" t="s">
        <v>46</v>
      </c>
      <c r="D90" s="67"/>
      <c r="E90" s="69"/>
      <c r="F90" s="111" t="str">
        <f>HYPERLINK("https://pbs.twimg.com/profile_images/1439229566271250434/4kqPuLJk_normal.png")</f>
        <v>https://pbs.twimg.com/profile_images/1439229566271250434/4kqPuLJk_normal.png</v>
      </c>
      <c r="G90" s="66"/>
      <c r="H90" s="70" t="s">
        <v>265</v>
      </c>
      <c r="I90" s="71" t="s">
        <v>5831</v>
      </c>
      <c r="J90" s="71" t="s">
        <v>73</v>
      </c>
      <c r="K90" s="70" t="s">
        <v>2387</v>
      </c>
      <c r="L90" s="74">
        <v>1</v>
      </c>
      <c r="M90" s="75">
        <v>5758.564453125</v>
      </c>
      <c r="N90" s="75">
        <v>4773.4501953125</v>
      </c>
      <c r="O90" s="76"/>
      <c r="P90" s="77"/>
      <c r="Q90" s="77"/>
      <c r="R90" s="104"/>
      <c r="S90" s="49">
        <v>0</v>
      </c>
      <c r="T90" s="49">
        <v>11</v>
      </c>
      <c r="U90" s="50">
        <v>4142.981228</v>
      </c>
      <c r="V90" s="50">
        <v>0.000689</v>
      </c>
      <c r="W90" s="50">
        <v>0.000102</v>
      </c>
      <c r="X90" s="50">
        <v>4.391217</v>
      </c>
      <c r="Y90" s="50">
        <v>0</v>
      </c>
      <c r="Z90" s="50">
        <v>0</v>
      </c>
      <c r="AA90" s="72">
        <v>90</v>
      </c>
      <c r="AB90" s="72"/>
      <c r="AC90" s="73"/>
      <c r="AD90" s="89" t="s">
        <v>1563</v>
      </c>
      <c r="AE90" s="102" t="s">
        <v>1366</v>
      </c>
      <c r="AF90" s="89">
        <v>301</v>
      </c>
      <c r="AG90" s="89">
        <v>115</v>
      </c>
      <c r="AH90" s="89">
        <v>2839</v>
      </c>
      <c r="AI90" s="89">
        <v>4703</v>
      </c>
      <c r="AJ90" s="89"/>
      <c r="AK90" s="89" t="s">
        <v>2037</v>
      </c>
      <c r="AL90" s="89"/>
      <c r="AM90" s="89"/>
      <c r="AN90" s="89"/>
      <c r="AO90" s="92">
        <v>44068.812939814816</v>
      </c>
      <c r="AP90" s="95" t="str">
        <f>HYPERLINK("https://pbs.twimg.com/profile_banners/1298341290644516867/1607015373")</f>
        <v>https://pbs.twimg.com/profile_banners/1298341290644516867/1607015373</v>
      </c>
      <c r="AQ90" s="89" t="b">
        <v>1</v>
      </c>
      <c r="AR90" s="89" t="b">
        <v>0</v>
      </c>
      <c r="AS90" s="89" t="b">
        <v>0</v>
      </c>
      <c r="AT90" s="89"/>
      <c r="AU90" s="89">
        <v>1</v>
      </c>
      <c r="AV90" s="89"/>
      <c r="AW90" s="89" t="b">
        <v>0</v>
      </c>
      <c r="AX90" s="89" t="s">
        <v>2300</v>
      </c>
      <c r="AY90" s="95" t="str">
        <f>HYPERLINK("https://twitter.com/foliohattu5g")</f>
        <v>https://twitter.com/foliohattu5g</v>
      </c>
      <c r="AZ90" s="89" t="s">
        <v>66</v>
      </c>
      <c r="BA90" s="89" t="str">
        <f>REPLACE(INDEX(GroupVertices[Group],MATCH(Vertices[[#This Row],[Vertex]],GroupVertices[Vertex],0)),1,1,"")</f>
        <v>8</v>
      </c>
      <c r="BB90" s="49">
        <v>0</v>
      </c>
      <c r="BC90" s="50">
        <v>0</v>
      </c>
      <c r="BD90" s="49">
        <v>0</v>
      </c>
      <c r="BE90" s="50">
        <v>0</v>
      </c>
      <c r="BF90" s="49">
        <v>0</v>
      </c>
      <c r="BG90" s="50">
        <v>0</v>
      </c>
      <c r="BH90" s="49">
        <v>104</v>
      </c>
      <c r="BI90" s="50">
        <v>100</v>
      </c>
      <c r="BJ90" s="49">
        <v>104</v>
      </c>
      <c r="BK90" s="49" t="s">
        <v>5226</v>
      </c>
      <c r="BL90" s="49" t="s">
        <v>5226</v>
      </c>
      <c r="BM90" s="49" t="s">
        <v>694</v>
      </c>
      <c r="BN90" s="49" t="s">
        <v>694</v>
      </c>
      <c r="BO90" s="49"/>
      <c r="BP90" s="49"/>
      <c r="BQ90" s="123" t="s">
        <v>5580</v>
      </c>
      <c r="BR90" s="123" t="s">
        <v>5663</v>
      </c>
      <c r="BS90" s="123" t="s">
        <v>5732</v>
      </c>
      <c r="BT90" s="123" t="s">
        <v>5732</v>
      </c>
      <c r="BU90" s="2"/>
      <c r="BV90" s="3"/>
      <c r="BW90" s="3"/>
      <c r="BX90" s="3"/>
      <c r="BY90" s="3"/>
    </row>
    <row r="91" spans="1:77" ht="15">
      <c r="A91" s="65" t="s">
        <v>413</v>
      </c>
      <c r="B91" s="66"/>
      <c r="C91" s="66" t="s">
        <v>46</v>
      </c>
      <c r="D91" s="67">
        <v>10</v>
      </c>
      <c r="E91" s="69"/>
      <c r="F91" s="111" t="str">
        <f>HYPERLINK("https://pbs.twimg.com/profile_images/1430957379282210816/tTdPYzuK_normal.jpg")</f>
        <v>https://pbs.twimg.com/profile_images/1430957379282210816/tTdPYzuK_normal.jpg</v>
      </c>
      <c r="G91" s="66"/>
      <c r="H91" s="70" t="s">
        <v>413</v>
      </c>
      <c r="I91" s="71" t="s">
        <v>5831</v>
      </c>
      <c r="J91" s="71" t="s">
        <v>75</v>
      </c>
      <c r="K91" s="70" t="s">
        <v>2388</v>
      </c>
      <c r="L91" s="74">
        <v>477.0952380952381</v>
      </c>
      <c r="M91" s="75">
        <v>6208.36572265625</v>
      </c>
      <c r="N91" s="75">
        <v>5959.39892578125</v>
      </c>
      <c r="O91" s="76"/>
      <c r="P91" s="77"/>
      <c r="Q91" s="77"/>
      <c r="R91" s="104"/>
      <c r="S91" s="49">
        <v>1</v>
      </c>
      <c r="T91" s="49">
        <v>0</v>
      </c>
      <c r="U91" s="50">
        <v>0</v>
      </c>
      <c r="V91" s="50">
        <v>0.00059</v>
      </c>
      <c r="W91" s="50">
        <v>1.2E-05</v>
      </c>
      <c r="X91" s="50">
        <v>0.489321</v>
      </c>
      <c r="Y91" s="50">
        <v>0</v>
      </c>
      <c r="Z91" s="50">
        <v>0</v>
      </c>
      <c r="AA91" s="72">
        <v>91</v>
      </c>
      <c r="AB91" s="72"/>
      <c r="AC91" s="73"/>
      <c r="AD91" s="89" t="s">
        <v>1564</v>
      </c>
      <c r="AE91" s="102" t="s">
        <v>1830</v>
      </c>
      <c r="AF91" s="89">
        <v>3532</v>
      </c>
      <c r="AG91" s="89">
        <v>40351</v>
      </c>
      <c r="AH91" s="89">
        <v>38167</v>
      </c>
      <c r="AI91" s="89">
        <v>24721</v>
      </c>
      <c r="AJ91" s="89"/>
      <c r="AK91" s="89" t="s">
        <v>2038</v>
      </c>
      <c r="AL91" s="89" t="s">
        <v>2243</v>
      </c>
      <c r="AM91" s="89"/>
      <c r="AN91" s="89"/>
      <c r="AO91" s="92">
        <v>40988.70916666667</v>
      </c>
      <c r="AP91" s="95" t="str">
        <f>HYPERLINK("https://pbs.twimg.com/profile_banners/531527946/1555332817")</f>
        <v>https://pbs.twimg.com/profile_banners/531527946/1555332817</v>
      </c>
      <c r="AQ91" s="89" t="b">
        <v>0</v>
      </c>
      <c r="AR91" s="89" t="b">
        <v>0</v>
      </c>
      <c r="AS91" s="89" t="b">
        <v>1</v>
      </c>
      <c r="AT91" s="89"/>
      <c r="AU91" s="89">
        <v>184</v>
      </c>
      <c r="AV91" s="95" t="str">
        <f>HYPERLINK("https://abs.twimg.com/images/themes/theme1/bg.png")</f>
        <v>https://abs.twimg.com/images/themes/theme1/bg.png</v>
      </c>
      <c r="AW91" s="89" t="b">
        <v>0</v>
      </c>
      <c r="AX91" s="89" t="s">
        <v>2300</v>
      </c>
      <c r="AY91" s="95" t="str">
        <f>HYPERLINK("https://twitter.com/karnamikko")</f>
        <v>https://twitter.com/karnamikko</v>
      </c>
      <c r="AZ91" s="89" t="s">
        <v>65</v>
      </c>
      <c r="BA91" s="89"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414</v>
      </c>
      <c r="B92" s="66"/>
      <c r="C92" s="66" t="s">
        <v>46</v>
      </c>
      <c r="D92" s="67">
        <v>10</v>
      </c>
      <c r="E92" s="69"/>
      <c r="F92" s="111" t="str">
        <f>HYPERLINK("https://pbs.twimg.com/profile_images/1159978805806673921/HUFwIrT8_normal.jpg")</f>
        <v>https://pbs.twimg.com/profile_images/1159978805806673921/HUFwIrT8_normal.jpg</v>
      </c>
      <c r="G92" s="66"/>
      <c r="H92" s="70" t="s">
        <v>414</v>
      </c>
      <c r="I92" s="71" t="s">
        <v>5831</v>
      </c>
      <c r="J92" s="71" t="s">
        <v>75</v>
      </c>
      <c r="K92" s="70" t="s">
        <v>2389</v>
      </c>
      <c r="L92" s="74">
        <v>477.0952380952381</v>
      </c>
      <c r="M92" s="75">
        <v>5105.87158203125</v>
      </c>
      <c r="N92" s="75">
        <v>4541.62158203125</v>
      </c>
      <c r="O92" s="76"/>
      <c r="P92" s="77"/>
      <c r="Q92" s="77"/>
      <c r="R92" s="104"/>
      <c r="S92" s="49">
        <v>1</v>
      </c>
      <c r="T92" s="49">
        <v>0</v>
      </c>
      <c r="U92" s="50">
        <v>0</v>
      </c>
      <c r="V92" s="50">
        <v>0.00059</v>
      </c>
      <c r="W92" s="50">
        <v>1.2E-05</v>
      </c>
      <c r="X92" s="50">
        <v>0.489321</v>
      </c>
      <c r="Y92" s="50">
        <v>0</v>
      </c>
      <c r="Z92" s="50">
        <v>0</v>
      </c>
      <c r="AA92" s="72">
        <v>92</v>
      </c>
      <c r="AB92" s="72"/>
      <c r="AC92" s="73"/>
      <c r="AD92" s="89" t="s">
        <v>1565</v>
      </c>
      <c r="AE92" s="102" t="s">
        <v>1364</v>
      </c>
      <c r="AF92" s="89">
        <v>355</v>
      </c>
      <c r="AG92" s="89">
        <v>338</v>
      </c>
      <c r="AH92" s="89">
        <v>31336</v>
      </c>
      <c r="AI92" s="89">
        <v>83362</v>
      </c>
      <c r="AJ92" s="89"/>
      <c r="AK92" s="89"/>
      <c r="AL92" s="89"/>
      <c r="AM92" s="89"/>
      <c r="AN92" s="89"/>
      <c r="AO92" s="92">
        <v>42900.980462962965</v>
      </c>
      <c r="AP92" s="95" t="str">
        <f>HYPERLINK("https://pbs.twimg.com/profile_banners/875133719316705280/1565395474")</f>
        <v>https://pbs.twimg.com/profile_banners/875133719316705280/1565395474</v>
      </c>
      <c r="AQ92" s="89" t="b">
        <v>0</v>
      </c>
      <c r="AR92" s="89" t="b">
        <v>0</v>
      </c>
      <c r="AS92" s="89" t="b">
        <v>0</v>
      </c>
      <c r="AT92" s="89"/>
      <c r="AU92" s="89">
        <v>0</v>
      </c>
      <c r="AV92" s="95" t="str">
        <f>HYPERLINK("https://abs.twimg.com/images/themes/theme1/bg.png")</f>
        <v>https://abs.twimg.com/images/themes/theme1/bg.png</v>
      </c>
      <c r="AW92" s="89" t="b">
        <v>0</v>
      </c>
      <c r="AX92" s="89" t="s">
        <v>2300</v>
      </c>
      <c r="AY92" s="95" t="str">
        <f>HYPERLINK("https://twitter.com/lehtinenmarkkua")</f>
        <v>https://twitter.com/lehtinenmarkkua</v>
      </c>
      <c r="AZ92" s="89" t="s">
        <v>65</v>
      </c>
      <c r="BA92" s="89"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415</v>
      </c>
      <c r="B93" s="66"/>
      <c r="C93" s="66" t="s">
        <v>46</v>
      </c>
      <c r="D93" s="67">
        <v>10</v>
      </c>
      <c r="E93" s="69"/>
      <c r="F93" s="111" t="str">
        <f>HYPERLINK("https://pbs.twimg.com/profile_images/1027611915667873792/TLVEMBky_normal.jpg")</f>
        <v>https://pbs.twimg.com/profile_images/1027611915667873792/TLVEMBky_normal.jpg</v>
      </c>
      <c r="G93" s="66"/>
      <c r="H93" s="70" t="s">
        <v>415</v>
      </c>
      <c r="I93" s="71" t="s">
        <v>5831</v>
      </c>
      <c r="J93" s="71" t="s">
        <v>75</v>
      </c>
      <c r="K93" s="70" t="s">
        <v>2390</v>
      </c>
      <c r="L93" s="74">
        <v>477.0952380952381</v>
      </c>
      <c r="M93" s="75">
        <v>6369.04248046875</v>
      </c>
      <c r="N93" s="75">
        <v>4978.681640625</v>
      </c>
      <c r="O93" s="76"/>
      <c r="P93" s="77"/>
      <c r="Q93" s="77"/>
      <c r="R93" s="104"/>
      <c r="S93" s="49">
        <v>1</v>
      </c>
      <c r="T93" s="49">
        <v>0</v>
      </c>
      <c r="U93" s="50">
        <v>0</v>
      </c>
      <c r="V93" s="50">
        <v>0.00059</v>
      </c>
      <c r="W93" s="50">
        <v>1.2E-05</v>
      </c>
      <c r="X93" s="50">
        <v>0.489321</v>
      </c>
      <c r="Y93" s="50">
        <v>0</v>
      </c>
      <c r="Z93" s="50">
        <v>0</v>
      </c>
      <c r="AA93" s="72">
        <v>93</v>
      </c>
      <c r="AB93" s="72"/>
      <c r="AC93" s="73"/>
      <c r="AD93" s="89" t="s">
        <v>1566</v>
      </c>
      <c r="AE93" s="102" t="s">
        <v>1831</v>
      </c>
      <c r="AF93" s="89">
        <v>380</v>
      </c>
      <c r="AG93" s="89">
        <v>59591</v>
      </c>
      <c r="AH93" s="89">
        <v>9208</v>
      </c>
      <c r="AI93" s="89">
        <v>5208</v>
      </c>
      <c r="AJ93" s="89"/>
      <c r="AK93" s="89" t="s">
        <v>2039</v>
      </c>
      <c r="AL93" s="89" t="s">
        <v>2244</v>
      </c>
      <c r="AM93" s="95" t="str">
        <f>HYPERLINK("https://t.co/u9xxSQwDnH")</f>
        <v>https://t.co/u9xxSQwDnH</v>
      </c>
      <c r="AN93" s="89"/>
      <c r="AO93" s="92">
        <v>40998.27483796296</v>
      </c>
      <c r="AP93" s="95" t="str">
        <f>HYPERLINK("https://pbs.twimg.com/profile_banners/540586237/1533836900")</f>
        <v>https://pbs.twimg.com/profile_banners/540586237/1533836900</v>
      </c>
      <c r="AQ93" s="89" t="b">
        <v>1</v>
      </c>
      <c r="AR93" s="89" t="b">
        <v>0</v>
      </c>
      <c r="AS93" s="89" t="b">
        <v>1</v>
      </c>
      <c r="AT93" s="89"/>
      <c r="AU93" s="89">
        <v>0</v>
      </c>
      <c r="AV93" s="95" t="str">
        <f>HYPERLINK("https://abs.twimg.com/images/themes/theme1/bg.png")</f>
        <v>https://abs.twimg.com/images/themes/theme1/bg.png</v>
      </c>
      <c r="AW93" s="89" t="b">
        <v>0</v>
      </c>
      <c r="AX93" s="89" t="s">
        <v>2300</v>
      </c>
      <c r="AY93" s="95" t="str">
        <f>HYPERLINK("https://twitter.com/jethrorostedt")</f>
        <v>https://twitter.com/jethrorostedt</v>
      </c>
      <c r="AZ93" s="89" t="s">
        <v>65</v>
      </c>
      <c r="BA93" s="89"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416</v>
      </c>
      <c r="B94" s="66"/>
      <c r="C94" s="66" t="s">
        <v>46</v>
      </c>
      <c r="D94" s="67">
        <v>10</v>
      </c>
      <c r="E94" s="69"/>
      <c r="F94" s="111" t="str">
        <f>HYPERLINK("https://pbs.twimg.com/profile_images/1448877420484997122/HBdP4Lfb_normal.jpg")</f>
        <v>https://pbs.twimg.com/profile_images/1448877420484997122/HBdP4Lfb_normal.jpg</v>
      </c>
      <c r="G94" s="66"/>
      <c r="H94" s="70" t="s">
        <v>416</v>
      </c>
      <c r="I94" s="71" t="s">
        <v>5831</v>
      </c>
      <c r="J94" s="71" t="s">
        <v>75</v>
      </c>
      <c r="K94" s="70" t="s">
        <v>2391</v>
      </c>
      <c r="L94" s="74">
        <v>477.0952380952381</v>
      </c>
      <c r="M94" s="75">
        <v>6061.2138671875</v>
      </c>
      <c r="N94" s="75">
        <v>3472.716552734375</v>
      </c>
      <c r="O94" s="76"/>
      <c r="P94" s="77"/>
      <c r="Q94" s="77"/>
      <c r="R94" s="104"/>
      <c r="S94" s="49">
        <v>1</v>
      </c>
      <c r="T94" s="49">
        <v>0</v>
      </c>
      <c r="U94" s="50">
        <v>0</v>
      </c>
      <c r="V94" s="50">
        <v>0.00059</v>
      </c>
      <c r="W94" s="50">
        <v>1.2E-05</v>
      </c>
      <c r="X94" s="50">
        <v>0.489321</v>
      </c>
      <c r="Y94" s="50">
        <v>0</v>
      </c>
      <c r="Z94" s="50">
        <v>0</v>
      </c>
      <c r="AA94" s="72">
        <v>94</v>
      </c>
      <c r="AB94" s="72"/>
      <c r="AC94" s="73"/>
      <c r="AD94" s="89" t="s">
        <v>1567</v>
      </c>
      <c r="AE94" s="102" t="s">
        <v>1832</v>
      </c>
      <c r="AF94" s="89">
        <v>644</v>
      </c>
      <c r="AG94" s="89">
        <v>328</v>
      </c>
      <c r="AH94" s="89">
        <v>4657</v>
      </c>
      <c r="AI94" s="89">
        <v>12746</v>
      </c>
      <c r="AJ94" s="89"/>
      <c r="AK94" s="89" t="s">
        <v>2040</v>
      </c>
      <c r="AL94" s="89" t="s">
        <v>2221</v>
      </c>
      <c r="AM94" s="89"/>
      <c r="AN94" s="89"/>
      <c r="AO94" s="92">
        <v>44312.79373842593</v>
      </c>
      <c r="AP94" s="95" t="str">
        <f>HYPERLINK("https://pbs.twimg.com/profile_banners/1386757658242338817/1632864716")</f>
        <v>https://pbs.twimg.com/profile_banners/1386757658242338817/1632864716</v>
      </c>
      <c r="AQ94" s="89" t="b">
        <v>1</v>
      </c>
      <c r="AR94" s="89" t="b">
        <v>0</v>
      </c>
      <c r="AS94" s="89" t="b">
        <v>0</v>
      </c>
      <c r="AT94" s="89"/>
      <c r="AU94" s="89">
        <v>0</v>
      </c>
      <c r="AV94" s="89"/>
      <c r="AW94" s="89" t="b">
        <v>0</v>
      </c>
      <c r="AX94" s="89" t="s">
        <v>2300</v>
      </c>
      <c r="AY94" s="95" t="str">
        <f>HYPERLINK("https://twitter.com/tommih9")</f>
        <v>https://twitter.com/tommih9</v>
      </c>
      <c r="AZ94" s="89" t="s">
        <v>65</v>
      </c>
      <c r="BA94" s="89"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417</v>
      </c>
      <c r="B95" s="66"/>
      <c r="C95" s="66" t="s">
        <v>46</v>
      </c>
      <c r="D95" s="67">
        <v>10</v>
      </c>
      <c r="E95" s="69"/>
      <c r="F95" s="111" t="str">
        <f>HYPERLINK("https://pbs.twimg.com/profile_images/444060578160455680/qjI20HbG_normal.jpeg")</f>
        <v>https://pbs.twimg.com/profile_images/444060578160455680/qjI20HbG_normal.jpeg</v>
      </c>
      <c r="G95" s="66"/>
      <c r="H95" s="70" t="s">
        <v>417</v>
      </c>
      <c r="I95" s="71" t="s">
        <v>5831</v>
      </c>
      <c r="J95" s="71" t="s">
        <v>75</v>
      </c>
      <c r="K95" s="70" t="s">
        <v>2392</v>
      </c>
      <c r="L95" s="74">
        <v>477.0952380952381</v>
      </c>
      <c r="M95" s="75">
        <v>5368.69482421875</v>
      </c>
      <c r="N95" s="75">
        <v>3591.771484375</v>
      </c>
      <c r="O95" s="76"/>
      <c r="P95" s="77"/>
      <c r="Q95" s="77"/>
      <c r="R95" s="104"/>
      <c r="S95" s="49">
        <v>1</v>
      </c>
      <c r="T95" s="49">
        <v>0</v>
      </c>
      <c r="U95" s="50">
        <v>0</v>
      </c>
      <c r="V95" s="50">
        <v>0.00059</v>
      </c>
      <c r="W95" s="50">
        <v>1.2E-05</v>
      </c>
      <c r="X95" s="50">
        <v>0.489321</v>
      </c>
      <c r="Y95" s="50">
        <v>0</v>
      </c>
      <c r="Z95" s="50">
        <v>0</v>
      </c>
      <c r="AA95" s="72">
        <v>95</v>
      </c>
      <c r="AB95" s="72"/>
      <c r="AC95" s="73"/>
      <c r="AD95" s="89" t="s">
        <v>1568</v>
      </c>
      <c r="AE95" s="102" t="s">
        <v>1833</v>
      </c>
      <c r="AF95" s="89">
        <v>247</v>
      </c>
      <c r="AG95" s="89">
        <v>175</v>
      </c>
      <c r="AH95" s="89">
        <v>1092</v>
      </c>
      <c r="AI95" s="89">
        <v>4681</v>
      </c>
      <c r="AJ95" s="89"/>
      <c r="AK95" s="89" t="s">
        <v>2041</v>
      </c>
      <c r="AL95" s="89"/>
      <c r="AM95" s="95" t="str">
        <f>HYPERLINK("https://t.co/vyzH25j23W")</f>
        <v>https://t.co/vyzH25j23W</v>
      </c>
      <c r="AN95" s="89"/>
      <c r="AO95" s="92">
        <v>41695.730671296296</v>
      </c>
      <c r="AP95" s="95" t="str">
        <f>HYPERLINK("https://pbs.twimg.com/profile_banners/2361418238/1425622305")</f>
        <v>https://pbs.twimg.com/profile_banners/2361418238/1425622305</v>
      </c>
      <c r="AQ95" s="89" t="b">
        <v>1</v>
      </c>
      <c r="AR95" s="89" t="b">
        <v>0</v>
      </c>
      <c r="AS95" s="89" t="b">
        <v>0</v>
      </c>
      <c r="AT95" s="89"/>
      <c r="AU95" s="89">
        <v>7</v>
      </c>
      <c r="AV95" s="95" t="str">
        <f>HYPERLINK("https://abs.twimg.com/images/themes/theme1/bg.png")</f>
        <v>https://abs.twimg.com/images/themes/theme1/bg.png</v>
      </c>
      <c r="AW95" s="89" t="b">
        <v>0</v>
      </c>
      <c r="AX95" s="89" t="s">
        <v>2300</v>
      </c>
      <c r="AY95" s="95" t="str">
        <f>HYPERLINK("https://twitter.com/dgtiainen")</f>
        <v>https://twitter.com/dgtiainen</v>
      </c>
      <c r="AZ95" s="89" t="s">
        <v>65</v>
      </c>
      <c r="BA95" s="89" t="str">
        <f>REPLACE(INDEX(GroupVertices[Group],MATCH(Vertices[[#This Row],[Vertex]],GroupVertices[Vertex],0)),1,1,"")</f>
        <v>8</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418</v>
      </c>
      <c r="B96" s="66"/>
      <c r="C96" s="66" t="s">
        <v>46</v>
      </c>
      <c r="D96" s="67">
        <v>10</v>
      </c>
      <c r="E96" s="69"/>
      <c r="F96" s="111" t="str">
        <f>HYPERLINK("https://pbs.twimg.com/profile_images/1372073061093113857/13crNl8J_normal.jpg")</f>
        <v>https://pbs.twimg.com/profile_images/1372073061093113857/13crNl8J_normal.jpg</v>
      </c>
      <c r="G96" s="66"/>
      <c r="H96" s="70" t="s">
        <v>418</v>
      </c>
      <c r="I96" s="71" t="s">
        <v>5831</v>
      </c>
      <c r="J96" s="71" t="s">
        <v>75</v>
      </c>
      <c r="K96" s="70" t="s">
        <v>2393</v>
      </c>
      <c r="L96" s="74">
        <v>477.0952380952381</v>
      </c>
      <c r="M96" s="75">
        <v>6305.16162109375</v>
      </c>
      <c r="N96" s="75">
        <v>4103.2021484375</v>
      </c>
      <c r="O96" s="76"/>
      <c r="P96" s="77"/>
      <c r="Q96" s="77"/>
      <c r="R96" s="104"/>
      <c r="S96" s="49">
        <v>1</v>
      </c>
      <c r="T96" s="49">
        <v>0</v>
      </c>
      <c r="U96" s="50">
        <v>0</v>
      </c>
      <c r="V96" s="50">
        <v>0.00059</v>
      </c>
      <c r="W96" s="50">
        <v>1.2E-05</v>
      </c>
      <c r="X96" s="50">
        <v>0.489321</v>
      </c>
      <c r="Y96" s="50">
        <v>0</v>
      </c>
      <c r="Z96" s="50">
        <v>0</v>
      </c>
      <c r="AA96" s="72">
        <v>96</v>
      </c>
      <c r="AB96" s="72"/>
      <c r="AC96" s="73"/>
      <c r="AD96" s="89" t="s">
        <v>1569</v>
      </c>
      <c r="AE96" s="102" t="s">
        <v>1365</v>
      </c>
      <c r="AF96" s="89">
        <v>28</v>
      </c>
      <c r="AG96" s="89">
        <v>24</v>
      </c>
      <c r="AH96" s="89">
        <v>358</v>
      </c>
      <c r="AI96" s="89">
        <v>5865</v>
      </c>
      <c r="AJ96" s="89"/>
      <c r="AK96" s="89" t="s">
        <v>2042</v>
      </c>
      <c r="AL96" s="89"/>
      <c r="AM96" s="89"/>
      <c r="AN96" s="89"/>
      <c r="AO96" s="92">
        <v>44272.271099537036</v>
      </c>
      <c r="AP96" s="89"/>
      <c r="AQ96" s="89" t="b">
        <v>1</v>
      </c>
      <c r="AR96" s="89" t="b">
        <v>0</v>
      </c>
      <c r="AS96" s="89" t="b">
        <v>0</v>
      </c>
      <c r="AT96" s="89"/>
      <c r="AU96" s="89">
        <v>0</v>
      </c>
      <c r="AV96" s="89"/>
      <c r="AW96" s="89" t="b">
        <v>0</v>
      </c>
      <c r="AX96" s="89" t="s">
        <v>2300</v>
      </c>
      <c r="AY96" s="95" t="str">
        <f>HYPERLINK("https://twitter.com/koivupuroeero")</f>
        <v>https://twitter.com/koivupuroeero</v>
      </c>
      <c r="AZ96" s="89" t="s">
        <v>65</v>
      </c>
      <c r="BA96" s="89" t="str">
        <f>REPLACE(INDEX(GroupVertices[Group],MATCH(Vertices[[#This Row],[Vertex]],GroupVertices[Vertex],0)),1,1,"")</f>
        <v>8</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419</v>
      </c>
      <c r="B97" s="66"/>
      <c r="C97" s="66" t="s">
        <v>46</v>
      </c>
      <c r="D97" s="67">
        <v>10</v>
      </c>
      <c r="E97" s="69"/>
      <c r="F97" s="111" t="str">
        <f>HYPERLINK("https://pbs.twimg.com/profile_images/1455931585736421376/y-Ojlok6_normal.jpg")</f>
        <v>https://pbs.twimg.com/profile_images/1455931585736421376/y-Ojlok6_normal.jpg</v>
      </c>
      <c r="G97" s="66"/>
      <c r="H97" s="70" t="s">
        <v>419</v>
      </c>
      <c r="I97" s="71" t="s">
        <v>5831</v>
      </c>
      <c r="J97" s="71" t="s">
        <v>75</v>
      </c>
      <c r="K97" s="70" t="s">
        <v>2394</v>
      </c>
      <c r="L97" s="74">
        <v>477.0952380952381</v>
      </c>
      <c r="M97" s="75">
        <v>5715.025390625</v>
      </c>
      <c r="N97" s="75">
        <v>3278.362060546875</v>
      </c>
      <c r="O97" s="76"/>
      <c r="P97" s="77"/>
      <c r="Q97" s="77"/>
      <c r="R97" s="104"/>
      <c r="S97" s="49">
        <v>1</v>
      </c>
      <c r="T97" s="49">
        <v>0</v>
      </c>
      <c r="U97" s="50">
        <v>0</v>
      </c>
      <c r="V97" s="50">
        <v>0.00059</v>
      </c>
      <c r="W97" s="50">
        <v>1.2E-05</v>
      </c>
      <c r="X97" s="50">
        <v>0.489321</v>
      </c>
      <c r="Y97" s="50">
        <v>0</v>
      </c>
      <c r="Z97" s="50">
        <v>0</v>
      </c>
      <c r="AA97" s="72">
        <v>97</v>
      </c>
      <c r="AB97" s="72"/>
      <c r="AC97" s="73"/>
      <c r="AD97" s="89" t="s">
        <v>1570</v>
      </c>
      <c r="AE97" s="102" t="s">
        <v>1834</v>
      </c>
      <c r="AF97" s="89">
        <v>1025</v>
      </c>
      <c r="AG97" s="89">
        <v>496</v>
      </c>
      <c r="AH97" s="89">
        <v>1566</v>
      </c>
      <c r="AI97" s="89">
        <v>29012</v>
      </c>
      <c r="AJ97" s="89"/>
      <c r="AK97" s="89" t="s">
        <v>2043</v>
      </c>
      <c r="AL97" s="89"/>
      <c r="AM97" s="89"/>
      <c r="AN97" s="89"/>
      <c r="AO97" s="92">
        <v>44428.82628472222</v>
      </c>
      <c r="AP97" s="89"/>
      <c r="AQ97" s="89" t="b">
        <v>1</v>
      </c>
      <c r="AR97" s="89" t="b">
        <v>0</v>
      </c>
      <c r="AS97" s="89" t="b">
        <v>0</v>
      </c>
      <c r="AT97" s="89"/>
      <c r="AU97" s="89">
        <v>0</v>
      </c>
      <c r="AV97" s="89"/>
      <c r="AW97" s="89" t="b">
        <v>0</v>
      </c>
      <c r="AX97" s="89" t="s">
        <v>2300</v>
      </c>
      <c r="AY97" s="95" t="str">
        <f>HYPERLINK("https://twitter.com/totuusseerumi")</f>
        <v>https://twitter.com/totuusseerumi</v>
      </c>
      <c r="AZ97" s="89" t="s">
        <v>65</v>
      </c>
      <c r="BA97" s="89"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307</v>
      </c>
      <c r="B98" s="66"/>
      <c r="C98" s="66" t="s">
        <v>64</v>
      </c>
      <c r="D98" s="67">
        <v>392.9842791621962</v>
      </c>
      <c r="E98" s="69"/>
      <c r="F98" s="111" t="str">
        <f>HYPERLINK("https://pbs.twimg.com/profile_images/1452622001403801602/dyOOQK6-_normal.jpg")</f>
        <v>https://pbs.twimg.com/profile_images/1452622001403801602/dyOOQK6-_normal.jpg</v>
      </c>
      <c r="G98" s="66"/>
      <c r="H98" s="70" t="s">
        <v>307</v>
      </c>
      <c r="I98" s="71" t="s">
        <v>5831</v>
      </c>
      <c r="J98" s="71" t="s">
        <v>73</v>
      </c>
      <c r="K98" s="70" t="s">
        <v>2395</v>
      </c>
      <c r="L98" s="74">
        <v>953.1904761904761</v>
      </c>
      <c r="M98" s="75">
        <v>5277.189453125</v>
      </c>
      <c r="N98" s="75">
        <v>6088.38525390625</v>
      </c>
      <c r="O98" s="76"/>
      <c r="P98" s="77"/>
      <c r="Q98" s="77"/>
      <c r="R98" s="104"/>
      <c r="S98" s="49">
        <v>2</v>
      </c>
      <c r="T98" s="49">
        <v>1</v>
      </c>
      <c r="U98" s="50">
        <v>0</v>
      </c>
      <c r="V98" s="50">
        <v>0.00059</v>
      </c>
      <c r="W98" s="50">
        <v>1.3E-05</v>
      </c>
      <c r="X98" s="50">
        <v>0.850993</v>
      </c>
      <c r="Y98" s="50">
        <v>0</v>
      </c>
      <c r="Z98" s="50">
        <v>0</v>
      </c>
      <c r="AA98" s="72">
        <v>98</v>
      </c>
      <c r="AB98" s="72"/>
      <c r="AC98" s="73"/>
      <c r="AD98" s="89" t="s">
        <v>1571</v>
      </c>
      <c r="AE98" s="102" t="s">
        <v>1835</v>
      </c>
      <c r="AF98" s="89">
        <v>1924</v>
      </c>
      <c r="AG98" s="89">
        <v>15069</v>
      </c>
      <c r="AH98" s="89">
        <v>135012</v>
      </c>
      <c r="AI98" s="89">
        <v>140934</v>
      </c>
      <c r="AJ98" s="89"/>
      <c r="AK98" s="89" t="s">
        <v>2044</v>
      </c>
      <c r="AL98" s="89" t="s">
        <v>2245</v>
      </c>
      <c r="AM98" s="95" t="str">
        <f>HYPERLINK("https://t.co/7mtBOcYEPf")</f>
        <v>https://t.co/7mtBOcYEPf</v>
      </c>
      <c r="AN98" s="89"/>
      <c r="AO98" s="92">
        <v>41423.76498842592</v>
      </c>
      <c r="AP98" s="95" t="str">
        <f>HYPERLINK("https://pbs.twimg.com/profile_banners/1467949519/1582222555")</f>
        <v>https://pbs.twimg.com/profile_banners/1467949519/1582222555</v>
      </c>
      <c r="AQ98" s="89" t="b">
        <v>0</v>
      </c>
      <c r="AR98" s="89" t="b">
        <v>0</v>
      </c>
      <c r="AS98" s="89" t="b">
        <v>1</v>
      </c>
      <c r="AT98" s="89"/>
      <c r="AU98" s="89">
        <v>51</v>
      </c>
      <c r="AV98" s="95" t="str">
        <f>HYPERLINK("https://abs.twimg.com/images/themes/theme1/bg.png")</f>
        <v>https://abs.twimg.com/images/themes/theme1/bg.png</v>
      </c>
      <c r="AW98" s="89" t="b">
        <v>0</v>
      </c>
      <c r="AX98" s="89" t="s">
        <v>2300</v>
      </c>
      <c r="AY98" s="95" t="str">
        <f>HYPERLINK("https://twitter.com/katjakurk")</f>
        <v>https://twitter.com/katjakurk</v>
      </c>
      <c r="AZ98" s="89" t="s">
        <v>66</v>
      </c>
      <c r="BA98" s="89" t="str">
        <f>REPLACE(INDEX(GroupVertices[Group],MATCH(Vertices[[#This Row],[Vertex]],GroupVertices[Vertex],0)),1,1,"")</f>
        <v>8</v>
      </c>
      <c r="BB98" s="49">
        <v>0</v>
      </c>
      <c r="BC98" s="50">
        <v>0</v>
      </c>
      <c r="BD98" s="49">
        <v>0</v>
      </c>
      <c r="BE98" s="50">
        <v>0</v>
      </c>
      <c r="BF98" s="49">
        <v>0</v>
      </c>
      <c r="BG98" s="50">
        <v>0</v>
      </c>
      <c r="BH98" s="49">
        <v>18</v>
      </c>
      <c r="BI98" s="50">
        <v>100</v>
      </c>
      <c r="BJ98" s="49">
        <v>18</v>
      </c>
      <c r="BK98" s="49" t="s">
        <v>5227</v>
      </c>
      <c r="BL98" s="49" t="s">
        <v>5227</v>
      </c>
      <c r="BM98" s="49" t="s">
        <v>693</v>
      </c>
      <c r="BN98" s="49" t="s">
        <v>693</v>
      </c>
      <c r="BO98" s="49"/>
      <c r="BP98" s="49"/>
      <c r="BQ98" s="123" t="s">
        <v>5581</v>
      </c>
      <c r="BR98" s="123" t="s">
        <v>5581</v>
      </c>
      <c r="BS98" s="123" t="s">
        <v>5733</v>
      </c>
      <c r="BT98" s="123" t="s">
        <v>5733</v>
      </c>
      <c r="BU98" s="2"/>
      <c r="BV98" s="3"/>
      <c r="BW98" s="3"/>
      <c r="BX98" s="3"/>
      <c r="BY98" s="3"/>
    </row>
    <row r="99" spans="1:77" ht="15">
      <c r="A99" s="65" t="s">
        <v>420</v>
      </c>
      <c r="B99" s="66"/>
      <c r="C99" s="66" t="s">
        <v>64</v>
      </c>
      <c r="D99" s="67">
        <v>617.0157208378039</v>
      </c>
      <c r="E99" s="69"/>
      <c r="F99" s="111" t="str">
        <f>HYPERLINK("https://pbs.twimg.com/profile_images/1075356058753875968/WZoVbRps_normal.jpg")</f>
        <v>https://pbs.twimg.com/profile_images/1075356058753875968/WZoVbRps_normal.jpg</v>
      </c>
      <c r="G99" s="66"/>
      <c r="H99" s="70" t="s">
        <v>420</v>
      </c>
      <c r="I99" s="71" t="s">
        <v>5831</v>
      </c>
      <c r="J99" s="71" t="s">
        <v>75</v>
      </c>
      <c r="K99" s="70" t="s">
        <v>2396</v>
      </c>
      <c r="L99" s="74">
        <v>1429.2857142857142</v>
      </c>
      <c r="M99" s="75">
        <v>5677.5869140625</v>
      </c>
      <c r="N99" s="75">
        <v>5322.18017578125</v>
      </c>
      <c r="O99" s="76"/>
      <c r="P99" s="77"/>
      <c r="Q99" s="77"/>
      <c r="R99" s="104"/>
      <c r="S99" s="49">
        <v>3</v>
      </c>
      <c r="T99" s="49">
        <v>0</v>
      </c>
      <c r="U99" s="50">
        <v>4787.281638</v>
      </c>
      <c r="V99" s="50">
        <v>0.000814</v>
      </c>
      <c r="W99" s="50">
        <v>0.00072</v>
      </c>
      <c r="X99" s="50">
        <v>1.024987</v>
      </c>
      <c r="Y99" s="50">
        <v>0</v>
      </c>
      <c r="Z99" s="50">
        <v>0</v>
      </c>
      <c r="AA99" s="72">
        <v>99</v>
      </c>
      <c r="AB99" s="72"/>
      <c r="AC99" s="73"/>
      <c r="AD99" s="89" t="s">
        <v>1572</v>
      </c>
      <c r="AE99" s="102" t="s">
        <v>1370</v>
      </c>
      <c r="AF99" s="89">
        <v>315</v>
      </c>
      <c r="AG99" s="89">
        <v>9979</v>
      </c>
      <c r="AH99" s="89">
        <v>3383</v>
      </c>
      <c r="AI99" s="89">
        <v>157</v>
      </c>
      <c r="AJ99" s="89"/>
      <c r="AK99" s="89" t="s">
        <v>2045</v>
      </c>
      <c r="AL99" s="89"/>
      <c r="AM99" s="89"/>
      <c r="AN99" s="89"/>
      <c r="AO99" s="92">
        <v>41561.29825231482</v>
      </c>
      <c r="AP99" s="95" t="str">
        <f>HYPERLINK("https://pbs.twimg.com/profile_banners/713937495/1545218776")</f>
        <v>https://pbs.twimg.com/profile_banners/713937495/1545218776</v>
      </c>
      <c r="AQ99" s="89" t="b">
        <v>0</v>
      </c>
      <c r="AR99" s="89" t="b">
        <v>0</v>
      </c>
      <c r="AS99" s="89" t="b">
        <v>0</v>
      </c>
      <c r="AT99" s="89"/>
      <c r="AU99" s="89">
        <v>49</v>
      </c>
      <c r="AV99" s="95" t="str">
        <f>HYPERLINK("https://abs.twimg.com/images/themes/theme1/bg.png")</f>
        <v>https://abs.twimg.com/images/themes/theme1/bg.png</v>
      </c>
      <c r="AW99" s="89" t="b">
        <v>0</v>
      </c>
      <c r="AX99" s="89" t="s">
        <v>2300</v>
      </c>
      <c r="AY99" s="95" t="str">
        <f>HYPERLINK("https://twitter.com/lindenaki")</f>
        <v>https://twitter.com/lindenaki</v>
      </c>
      <c r="AZ99" s="89" t="s">
        <v>65</v>
      </c>
      <c r="BA99" s="89"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421</v>
      </c>
      <c r="B100" s="66"/>
      <c r="C100" s="66" t="s">
        <v>64</v>
      </c>
      <c r="D100" s="67">
        <v>392.9842791621962</v>
      </c>
      <c r="E100" s="69"/>
      <c r="F100" s="111" t="str">
        <f>HYPERLINK("https://pbs.twimg.com/profile_images/1393302796112441345/_kfG0GhO_normal.jpg")</f>
        <v>https://pbs.twimg.com/profile_images/1393302796112441345/_kfG0GhO_normal.jpg</v>
      </c>
      <c r="G100" s="66"/>
      <c r="H100" s="70" t="s">
        <v>421</v>
      </c>
      <c r="I100" s="71" t="s">
        <v>5831</v>
      </c>
      <c r="J100" s="71" t="s">
        <v>75</v>
      </c>
      <c r="K100" s="70" t="s">
        <v>2397</v>
      </c>
      <c r="L100" s="74">
        <v>953.1904761904761</v>
      </c>
      <c r="M100" s="75">
        <v>5415.4111328125</v>
      </c>
      <c r="N100" s="75">
        <v>5007.66455078125</v>
      </c>
      <c r="O100" s="76"/>
      <c r="P100" s="77"/>
      <c r="Q100" s="77"/>
      <c r="R100" s="104"/>
      <c r="S100" s="49">
        <v>2</v>
      </c>
      <c r="T100" s="49">
        <v>0</v>
      </c>
      <c r="U100" s="50">
        <v>141.194805</v>
      </c>
      <c r="V100" s="50">
        <v>0.000628</v>
      </c>
      <c r="W100" s="50">
        <v>2.9E-05</v>
      </c>
      <c r="X100" s="50">
        <v>0.797261</v>
      </c>
      <c r="Y100" s="50">
        <v>0</v>
      </c>
      <c r="Z100" s="50">
        <v>0</v>
      </c>
      <c r="AA100" s="72">
        <v>100</v>
      </c>
      <c r="AB100" s="72"/>
      <c r="AC100" s="73"/>
      <c r="AD100" s="89" t="s">
        <v>1573</v>
      </c>
      <c r="AE100" s="102" t="s">
        <v>1368</v>
      </c>
      <c r="AF100" s="89">
        <v>389</v>
      </c>
      <c r="AG100" s="89">
        <v>598</v>
      </c>
      <c r="AH100" s="89">
        <v>2541</v>
      </c>
      <c r="AI100" s="89">
        <v>8149</v>
      </c>
      <c r="AJ100" s="89"/>
      <c r="AK100" s="89" t="s">
        <v>2046</v>
      </c>
      <c r="AL100" s="89" t="s">
        <v>2223</v>
      </c>
      <c r="AM100" s="95" t="str">
        <f>HYPERLINK("https://t.co/iEaqPucnHW")</f>
        <v>https://t.co/iEaqPucnHW</v>
      </c>
      <c r="AN100" s="89"/>
      <c r="AO100" s="92">
        <v>41175.57381944444</v>
      </c>
      <c r="AP100" s="95" t="str">
        <f>HYPERLINK("https://pbs.twimg.com/profile_banners/841737156/1621024249")</f>
        <v>https://pbs.twimg.com/profile_banners/841737156/1621024249</v>
      </c>
      <c r="AQ100" s="89" t="b">
        <v>0</v>
      </c>
      <c r="AR100" s="89" t="b">
        <v>0</v>
      </c>
      <c r="AS100" s="89" t="b">
        <v>1</v>
      </c>
      <c r="AT100" s="89"/>
      <c r="AU100" s="89">
        <v>1</v>
      </c>
      <c r="AV100" s="95" t="str">
        <f>HYPERLINK("https://abs.twimg.com/images/themes/theme9/bg.gif")</f>
        <v>https://abs.twimg.com/images/themes/theme9/bg.gif</v>
      </c>
      <c r="AW100" s="89" t="b">
        <v>0</v>
      </c>
      <c r="AX100" s="89" t="s">
        <v>2300</v>
      </c>
      <c r="AY100" s="95" t="str">
        <f>HYPERLINK("https://twitter.com/hannasokajarvi")</f>
        <v>https://twitter.com/hannasokajarvi</v>
      </c>
      <c r="AZ100" s="89" t="s">
        <v>65</v>
      </c>
      <c r="BA100" s="89"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422</v>
      </c>
      <c r="B101" s="66"/>
      <c r="C101" s="66" t="s">
        <v>64</v>
      </c>
      <c r="D101" s="67">
        <v>392.9842791621962</v>
      </c>
      <c r="E101" s="69"/>
      <c r="F101" s="111" t="str">
        <f>HYPERLINK("https://pbs.twimg.com/profile_images/1461967365806166027/-6OEp8qs_normal.jpg")</f>
        <v>https://pbs.twimg.com/profile_images/1461967365806166027/-6OEp8qs_normal.jpg</v>
      </c>
      <c r="G101" s="66"/>
      <c r="H101" s="70" t="s">
        <v>422</v>
      </c>
      <c r="I101" s="71" t="s">
        <v>5831</v>
      </c>
      <c r="J101" s="71" t="s">
        <v>75</v>
      </c>
      <c r="K101" s="70" t="s">
        <v>2398</v>
      </c>
      <c r="L101" s="74">
        <v>953.1904761904761</v>
      </c>
      <c r="M101" s="75">
        <v>5844.619140625</v>
      </c>
      <c r="N101" s="75">
        <v>5812.10791015625</v>
      </c>
      <c r="O101" s="76"/>
      <c r="P101" s="77"/>
      <c r="Q101" s="77"/>
      <c r="R101" s="104"/>
      <c r="S101" s="49">
        <v>2</v>
      </c>
      <c r="T101" s="49">
        <v>0</v>
      </c>
      <c r="U101" s="50">
        <v>141.194805</v>
      </c>
      <c r="V101" s="50">
        <v>0.000628</v>
      </c>
      <c r="W101" s="50">
        <v>2.9E-05</v>
      </c>
      <c r="X101" s="50">
        <v>0.797261</v>
      </c>
      <c r="Y101" s="50">
        <v>0</v>
      </c>
      <c r="Z101" s="50">
        <v>0</v>
      </c>
      <c r="AA101" s="72">
        <v>101</v>
      </c>
      <c r="AB101" s="72"/>
      <c r="AC101" s="73"/>
      <c r="AD101" s="89" t="s">
        <v>1574</v>
      </c>
      <c r="AE101" s="102" t="s">
        <v>1367</v>
      </c>
      <c r="AF101" s="89">
        <v>668</v>
      </c>
      <c r="AG101" s="89">
        <v>725</v>
      </c>
      <c r="AH101" s="89">
        <v>36443</v>
      </c>
      <c r="AI101" s="89">
        <v>94596</v>
      </c>
      <c r="AJ101" s="89"/>
      <c r="AK101" s="89" t="s">
        <v>2047</v>
      </c>
      <c r="AL101" s="89" t="s">
        <v>2217</v>
      </c>
      <c r="AM101" s="89"/>
      <c r="AN101" s="89"/>
      <c r="AO101" s="92">
        <v>44097.77609953703</v>
      </c>
      <c r="AP101" s="95" t="str">
        <f>HYPERLINK("https://pbs.twimg.com/profile_banners/1308837860259368961/1606942927")</f>
        <v>https://pbs.twimg.com/profile_banners/1308837860259368961/1606942927</v>
      </c>
      <c r="AQ101" s="89" t="b">
        <v>1</v>
      </c>
      <c r="AR101" s="89" t="b">
        <v>0</v>
      </c>
      <c r="AS101" s="89" t="b">
        <v>0</v>
      </c>
      <c r="AT101" s="89"/>
      <c r="AU101" s="89">
        <v>1</v>
      </c>
      <c r="AV101" s="89"/>
      <c r="AW101" s="89" t="b">
        <v>0</v>
      </c>
      <c r="AX101" s="89" t="s">
        <v>2300</v>
      </c>
      <c r="AY101" s="95" t="str">
        <f>HYPERLINK("https://twitter.com/hoopoilua")</f>
        <v>https://twitter.com/hoopoilua</v>
      </c>
      <c r="AZ101" s="89" t="s">
        <v>65</v>
      </c>
      <c r="BA101" s="89"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423</v>
      </c>
      <c r="B102" s="66"/>
      <c r="C102" s="66" t="s">
        <v>46</v>
      </c>
      <c r="D102" s="67">
        <v>10</v>
      </c>
      <c r="E102" s="69"/>
      <c r="F102" s="111" t="str">
        <f>HYPERLINK("https://pbs.twimg.com/profile_images/226764579/stencil2_normal.jpg")</f>
        <v>https://pbs.twimg.com/profile_images/226764579/stencil2_normal.jpg</v>
      </c>
      <c r="G102" s="66"/>
      <c r="H102" s="70" t="s">
        <v>423</v>
      </c>
      <c r="I102" s="71" t="s">
        <v>5818</v>
      </c>
      <c r="J102" s="71" t="s">
        <v>75</v>
      </c>
      <c r="K102" s="70" t="s">
        <v>2399</v>
      </c>
      <c r="L102" s="74">
        <v>477.0952380952381</v>
      </c>
      <c r="M102" s="75">
        <v>132.96531677246094</v>
      </c>
      <c r="N102" s="75">
        <v>7033.25390625</v>
      </c>
      <c r="O102" s="76"/>
      <c r="P102" s="77"/>
      <c r="Q102" s="77"/>
      <c r="R102" s="104"/>
      <c r="S102" s="49">
        <v>1</v>
      </c>
      <c r="T102" s="49">
        <v>0</v>
      </c>
      <c r="U102" s="50">
        <v>0</v>
      </c>
      <c r="V102" s="50">
        <v>0.000795</v>
      </c>
      <c r="W102" s="50">
        <v>0.00069</v>
      </c>
      <c r="X102" s="50">
        <v>0.377726</v>
      </c>
      <c r="Y102" s="50">
        <v>0</v>
      </c>
      <c r="Z102" s="50">
        <v>0</v>
      </c>
      <c r="AA102" s="72">
        <v>102</v>
      </c>
      <c r="AB102" s="72"/>
      <c r="AC102" s="73"/>
      <c r="AD102" s="89" t="s">
        <v>1575</v>
      </c>
      <c r="AE102" s="102" t="s">
        <v>1369</v>
      </c>
      <c r="AF102" s="89">
        <v>632</v>
      </c>
      <c r="AG102" s="89">
        <v>357</v>
      </c>
      <c r="AH102" s="89">
        <v>1933</v>
      </c>
      <c r="AI102" s="89">
        <v>1251</v>
      </c>
      <c r="AJ102" s="89"/>
      <c r="AK102" s="89" t="s">
        <v>2048</v>
      </c>
      <c r="AL102" s="89"/>
      <c r="AM102" s="89"/>
      <c r="AN102" s="89"/>
      <c r="AO102" s="92">
        <v>39956.40787037037</v>
      </c>
      <c r="AP102" s="95" t="str">
        <f>HYPERLINK("https://pbs.twimg.com/profile_banners/42003978/1404029296")</f>
        <v>https://pbs.twimg.com/profile_banners/42003978/1404029296</v>
      </c>
      <c r="AQ102" s="89" t="b">
        <v>0</v>
      </c>
      <c r="AR102" s="89" t="b">
        <v>0</v>
      </c>
      <c r="AS102" s="89" t="b">
        <v>0</v>
      </c>
      <c r="AT102" s="89"/>
      <c r="AU102" s="89">
        <v>0</v>
      </c>
      <c r="AV102" s="95" t="str">
        <f>HYPERLINK("https://abs.twimg.com/images/themes/theme7/bg.gif")</f>
        <v>https://abs.twimg.com/images/themes/theme7/bg.gif</v>
      </c>
      <c r="AW102" s="89" t="b">
        <v>0</v>
      </c>
      <c r="AX102" s="89" t="s">
        <v>2300</v>
      </c>
      <c r="AY102" s="95" t="str">
        <f>HYPERLINK("https://twitter.com/beetas")</f>
        <v>https://twitter.com/beetas</v>
      </c>
      <c r="AZ102" s="89" t="s">
        <v>65</v>
      </c>
      <c r="BA102" s="8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424</v>
      </c>
      <c r="B103" s="66"/>
      <c r="C103" s="66" t="s">
        <v>46</v>
      </c>
      <c r="D103" s="67">
        <v>10</v>
      </c>
      <c r="E103" s="69"/>
      <c r="F103" s="111" t="str">
        <f>HYPERLINK("https://pbs.twimg.com/profile_images/1446890255475527687/6LoEJe9X_normal.jpg")</f>
        <v>https://pbs.twimg.com/profile_images/1446890255475527687/6LoEJe9X_normal.jpg</v>
      </c>
      <c r="G103" s="66"/>
      <c r="H103" s="70" t="s">
        <v>424</v>
      </c>
      <c r="I103" s="71" t="s">
        <v>5818</v>
      </c>
      <c r="J103" s="71" t="s">
        <v>75</v>
      </c>
      <c r="K103" s="70" t="s">
        <v>2400</v>
      </c>
      <c r="L103" s="74">
        <v>477.0952380952381</v>
      </c>
      <c r="M103" s="75">
        <v>317.1068420410156</v>
      </c>
      <c r="N103" s="75">
        <v>6316.15966796875</v>
      </c>
      <c r="O103" s="76"/>
      <c r="P103" s="77"/>
      <c r="Q103" s="77"/>
      <c r="R103" s="104"/>
      <c r="S103" s="49">
        <v>1</v>
      </c>
      <c r="T103" s="49">
        <v>0</v>
      </c>
      <c r="U103" s="50">
        <v>0</v>
      </c>
      <c r="V103" s="50">
        <v>0.000795</v>
      </c>
      <c r="W103" s="50">
        <v>0.00069</v>
      </c>
      <c r="X103" s="50">
        <v>0.377726</v>
      </c>
      <c r="Y103" s="50">
        <v>0</v>
      </c>
      <c r="Z103" s="50">
        <v>0</v>
      </c>
      <c r="AA103" s="72">
        <v>103</v>
      </c>
      <c r="AB103" s="72"/>
      <c r="AC103" s="73"/>
      <c r="AD103" s="89" t="s">
        <v>1576</v>
      </c>
      <c r="AE103" s="102" t="s">
        <v>1836</v>
      </c>
      <c r="AF103" s="89">
        <v>240</v>
      </c>
      <c r="AG103" s="89">
        <v>29</v>
      </c>
      <c r="AH103" s="89">
        <v>227</v>
      </c>
      <c r="AI103" s="89">
        <v>419</v>
      </c>
      <c r="AJ103" s="89"/>
      <c r="AK103" s="89"/>
      <c r="AL103" s="89"/>
      <c r="AM103" s="89"/>
      <c r="AN103" s="89"/>
      <c r="AO103" s="92">
        <v>44443.624247685184</v>
      </c>
      <c r="AP103" s="95" t="str">
        <f>HYPERLINK("https://pbs.twimg.com/profile_banners/1434167843763916800/1633800493")</f>
        <v>https://pbs.twimg.com/profile_banners/1434167843763916800/1633800493</v>
      </c>
      <c r="AQ103" s="89" t="b">
        <v>1</v>
      </c>
      <c r="AR103" s="89" t="b">
        <v>0</v>
      </c>
      <c r="AS103" s="89" t="b">
        <v>0</v>
      </c>
      <c r="AT103" s="89"/>
      <c r="AU103" s="89">
        <v>0</v>
      </c>
      <c r="AV103" s="89"/>
      <c r="AW103" s="89" t="b">
        <v>0</v>
      </c>
      <c r="AX103" s="89" t="s">
        <v>2300</v>
      </c>
      <c r="AY103" s="95" t="str">
        <f>HYPERLINK("https://twitter.com/spihatto")</f>
        <v>https://twitter.com/spihatto</v>
      </c>
      <c r="AZ103" s="89" t="s">
        <v>65</v>
      </c>
      <c r="BA103" s="8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268</v>
      </c>
      <c r="B104" s="66"/>
      <c r="C104" s="66" t="s">
        <v>46</v>
      </c>
      <c r="D104" s="67"/>
      <c r="E104" s="69"/>
      <c r="F104" s="111" t="str">
        <f>HYPERLINK("https://pbs.twimg.com/profile_images/1244562186166566912/w9MxjX3E_normal.jpg")</f>
        <v>https://pbs.twimg.com/profile_images/1244562186166566912/w9MxjX3E_normal.jpg</v>
      </c>
      <c r="G104" s="66"/>
      <c r="H104" s="70" t="s">
        <v>268</v>
      </c>
      <c r="I104" s="71" t="s">
        <v>5821</v>
      </c>
      <c r="J104" s="71" t="s">
        <v>73</v>
      </c>
      <c r="K104" s="70" t="s">
        <v>2401</v>
      </c>
      <c r="L104" s="74">
        <v>1</v>
      </c>
      <c r="M104" s="75">
        <v>546.8029174804688</v>
      </c>
      <c r="N104" s="75">
        <v>3087.7177734375</v>
      </c>
      <c r="O104" s="76"/>
      <c r="P104" s="77"/>
      <c r="Q104" s="77"/>
      <c r="R104" s="104"/>
      <c r="S104" s="49">
        <v>0</v>
      </c>
      <c r="T104" s="49">
        <v>1</v>
      </c>
      <c r="U104" s="50">
        <v>0</v>
      </c>
      <c r="V104" s="50">
        <v>0.000763</v>
      </c>
      <c r="W104" s="50">
        <v>0.000207</v>
      </c>
      <c r="X104" s="50">
        <v>0.406206</v>
      </c>
      <c r="Y104" s="50">
        <v>0</v>
      </c>
      <c r="Z104" s="50">
        <v>0</v>
      </c>
      <c r="AA104" s="72">
        <v>104</v>
      </c>
      <c r="AB104" s="72"/>
      <c r="AC104" s="73"/>
      <c r="AD104" s="89" t="s">
        <v>1577</v>
      </c>
      <c r="AE104" s="102" t="s">
        <v>1837</v>
      </c>
      <c r="AF104" s="89">
        <v>110</v>
      </c>
      <c r="AG104" s="89">
        <v>80</v>
      </c>
      <c r="AH104" s="89">
        <v>22205</v>
      </c>
      <c r="AI104" s="89">
        <v>63825</v>
      </c>
      <c r="AJ104" s="89"/>
      <c r="AK104" s="89"/>
      <c r="AL104" s="89" t="s">
        <v>2223</v>
      </c>
      <c r="AM104" s="89"/>
      <c r="AN104" s="89"/>
      <c r="AO104" s="92">
        <v>39969.60605324074</v>
      </c>
      <c r="AP104" s="95" t="str">
        <f>HYPERLINK("https://pbs.twimg.com/profile_banners/44904161/1585561741")</f>
        <v>https://pbs.twimg.com/profile_banners/44904161/1585561741</v>
      </c>
      <c r="AQ104" s="89" t="b">
        <v>1</v>
      </c>
      <c r="AR104" s="89" t="b">
        <v>0</v>
      </c>
      <c r="AS104" s="89" t="b">
        <v>0</v>
      </c>
      <c r="AT104" s="89"/>
      <c r="AU104" s="89">
        <v>0</v>
      </c>
      <c r="AV104" s="95" t="str">
        <f>HYPERLINK("https://abs.twimg.com/images/themes/theme1/bg.png")</f>
        <v>https://abs.twimg.com/images/themes/theme1/bg.png</v>
      </c>
      <c r="AW104" s="89" t="b">
        <v>0</v>
      </c>
      <c r="AX104" s="89" t="s">
        <v>2300</v>
      </c>
      <c r="AY104" s="95" t="str">
        <f>HYPERLINK("https://twitter.com/_amr_2")</f>
        <v>https://twitter.com/_amr_2</v>
      </c>
      <c r="AZ104" s="89" t="s">
        <v>66</v>
      </c>
      <c r="BA104" s="89" t="str">
        <f>REPLACE(INDEX(GroupVertices[Group],MATCH(Vertices[[#This Row],[Vertex]],GroupVertices[Vertex],0)),1,1,"")</f>
        <v>2</v>
      </c>
      <c r="BB104" s="49">
        <v>0</v>
      </c>
      <c r="BC104" s="50">
        <v>0</v>
      </c>
      <c r="BD104" s="49">
        <v>0</v>
      </c>
      <c r="BE104" s="50">
        <v>0</v>
      </c>
      <c r="BF104" s="49">
        <v>0</v>
      </c>
      <c r="BG104" s="50">
        <v>0</v>
      </c>
      <c r="BH104" s="49">
        <v>25</v>
      </c>
      <c r="BI104" s="50">
        <v>100</v>
      </c>
      <c r="BJ104" s="49">
        <v>25</v>
      </c>
      <c r="BK104" s="49" t="s">
        <v>5195</v>
      </c>
      <c r="BL104" s="49" t="s">
        <v>5195</v>
      </c>
      <c r="BM104" s="49" t="s">
        <v>696</v>
      </c>
      <c r="BN104" s="49" t="s">
        <v>696</v>
      </c>
      <c r="BO104" s="49" t="s">
        <v>712</v>
      </c>
      <c r="BP104" s="49" t="s">
        <v>712</v>
      </c>
      <c r="BQ104" s="123" t="s">
        <v>5582</v>
      </c>
      <c r="BR104" s="123" t="s">
        <v>5582</v>
      </c>
      <c r="BS104" s="123" t="s">
        <v>5734</v>
      </c>
      <c r="BT104" s="123" t="s">
        <v>5734</v>
      </c>
      <c r="BU104" s="2"/>
      <c r="BV104" s="3"/>
      <c r="BW104" s="3"/>
      <c r="BX104" s="3"/>
      <c r="BY104" s="3"/>
    </row>
    <row r="105" spans="1:77" ht="15">
      <c r="A105" s="65" t="s">
        <v>297</v>
      </c>
      <c r="B105" s="66"/>
      <c r="C105" s="66" t="s">
        <v>64</v>
      </c>
      <c r="D105" s="67">
        <v>617.0157208378039</v>
      </c>
      <c r="E105" s="69"/>
      <c r="F105" s="111" t="str">
        <f>HYPERLINK("https://pbs.twimg.com/profile_images/1399677705856106499/hIV4yMmC_normal.jpg")</f>
        <v>https://pbs.twimg.com/profile_images/1399677705856106499/hIV4yMmC_normal.jpg</v>
      </c>
      <c r="G105" s="66"/>
      <c r="H105" s="70" t="s">
        <v>297</v>
      </c>
      <c r="I105" s="71" t="s">
        <v>5821</v>
      </c>
      <c r="J105" s="71" t="s">
        <v>73</v>
      </c>
      <c r="K105" s="70" t="s">
        <v>2402</v>
      </c>
      <c r="L105" s="74">
        <v>1429.2857142857142</v>
      </c>
      <c r="M105" s="75">
        <v>1004.3124389648438</v>
      </c>
      <c r="N105" s="75">
        <v>3422.10986328125</v>
      </c>
      <c r="O105" s="76"/>
      <c r="P105" s="77"/>
      <c r="Q105" s="77"/>
      <c r="R105" s="104"/>
      <c r="S105" s="49">
        <v>3</v>
      </c>
      <c r="T105" s="49">
        <v>10</v>
      </c>
      <c r="U105" s="50">
        <v>4086.932823</v>
      </c>
      <c r="V105" s="50">
        <v>0.000937</v>
      </c>
      <c r="W105" s="50">
        <v>0.001775</v>
      </c>
      <c r="X105" s="50">
        <v>3.617027</v>
      </c>
      <c r="Y105" s="50">
        <v>0.01818181818181818</v>
      </c>
      <c r="Z105" s="50">
        <v>0</v>
      </c>
      <c r="AA105" s="72">
        <v>105</v>
      </c>
      <c r="AB105" s="72"/>
      <c r="AC105" s="73"/>
      <c r="AD105" s="89" t="s">
        <v>1578</v>
      </c>
      <c r="AE105" s="102" t="s">
        <v>1392</v>
      </c>
      <c r="AF105" s="89">
        <v>1374</v>
      </c>
      <c r="AG105" s="89">
        <v>3276</v>
      </c>
      <c r="AH105" s="89">
        <v>30967</v>
      </c>
      <c r="AI105" s="89">
        <v>88657</v>
      </c>
      <c r="AJ105" s="89"/>
      <c r="AK105" s="89" t="s">
        <v>2049</v>
      </c>
      <c r="AL105" s="89" t="s">
        <v>2246</v>
      </c>
      <c r="AM105" s="95" t="str">
        <f>HYPERLINK("https://t.co/iCms3U0ExT")</f>
        <v>https://t.co/iCms3U0ExT</v>
      </c>
      <c r="AN105" s="89"/>
      <c r="AO105" s="92">
        <v>41945.482465277775</v>
      </c>
      <c r="AP105" s="95" t="str">
        <f>HYPERLINK("https://pbs.twimg.com/profile_banners/2856615767/1622544270")</f>
        <v>https://pbs.twimg.com/profile_banners/2856615767/1622544270</v>
      </c>
      <c r="AQ105" s="89" t="b">
        <v>0</v>
      </c>
      <c r="AR105" s="89" t="b">
        <v>0</v>
      </c>
      <c r="AS105" s="89" t="b">
        <v>1</v>
      </c>
      <c r="AT105" s="89"/>
      <c r="AU105" s="89">
        <v>23</v>
      </c>
      <c r="AV105" s="95" t="str">
        <f>HYPERLINK("https://abs.twimg.com/images/themes/theme1/bg.png")</f>
        <v>https://abs.twimg.com/images/themes/theme1/bg.png</v>
      </c>
      <c r="AW105" s="89" t="b">
        <v>0</v>
      </c>
      <c r="AX105" s="89" t="s">
        <v>2300</v>
      </c>
      <c r="AY105" s="95" t="str">
        <f>HYPERLINK("https://twitter.com/mikaelniku")</f>
        <v>https://twitter.com/mikaelniku</v>
      </c>
      <c r="AZ105" s="89" t="s">
        <v>66</v>
      </c>
      <c r="BA105" s="89" t="str">
        <f>REPLACE(INDEX(GroupVertices[Group],MATCH(Vertices[[#This Row],[Vertex]],GroupVertices[Vertex],0)),1,1,"")</f>
        <v>2</v>
      </c>
      <c r="BB105" s="49">
        <v>2</v>
      </c>
      <c r="BC105" s="50">
        <v>0.975609756097561</v>
      </c>
      <c r="BD105" s="49">
        <v>0</v>
      </c>
      <c r="BE105" s="50">
        <v>0</v>
      </c>
      <c r="BF105" s="49">
        <v>0</v>
      </c>
      <c r="BG105" s="50">
        <v>0</v>
      </c>
      <c r="BH105" s="49">
        <v>203</v>
      </c>
      <c r="BI105" s="50">
        <v>99.02439024390245</v>
      </c>
      <c r="BJ105" s="49">
        <v>205</v>
      </c>
      <c r="BK105" s="49" t="s">
        <v>5511</v>
      </c>
      <c r="BL105" s="49" t="s">
        <v>5511</v>
      </c>
      <c r="BM105" s="49" t="s">
        <v>5523</v>
      </c>
      <c r="BN105" s="49" t="s">
        <v>5523</v>
      </c>
      <c r="BO105" s="49" t="s">
        <v>712</v>
      </c>
      <c r="BP105" s="49" t="s">
        <v>712</v>
      </c>
      <c r="BQ105" s="123" t="s">
        <v>5583</v>
      </c>
      <c r="BR105" s="123" t="s">
        <v>5664</v>
      </c>
      <c r="BS105" s="123" t="s">
        <v>5735</v>
      </c>
      <c r="BT105" s="123" t="s">
        <v>5805</v>
      </c>
      <c r="BU105" s="2"/>
      <c r="BV105" s="3"/>
      <c r="BW105" s="3"/>
      <c r="BX105" s="3"/>
      <c r="BY105" s="3"/>
    </row>
    <row r="106" spans="1:77" ht="15">
      <c r="A106" s="65" t="s">
        <v>269</v>
      </c>
      <c r="B106" s="66"/>
      <c r="C106" s="66" t="s">
        <v>46</v>
      </c>
      <c r="D106" s="67"/>
      <c r="E106" s="69"/>
      <c r="F106" s="111" t="str">
        <f>HYPERLINK("https://pbs.twimg.com/profile_images/1079954036919541760/ITllMeiP_normal.jpg")</f>
        <v>https://pbs.twimg.com/profile_images/1079954036919541760/ITllMeiP_normal.jpg</v>
      </c>
      <c r="G106" s="66"/>
      <c r="H106" s="70" t="s">
        <v>269</v>
      </c>
      <c r="I106" s="71" t="s">
        <v>5821</v>
      </c>
      <c r="J106" s="71" t="s">
        <v>73</v>
      </c>
      <c r="K106" s="70" t="s">
        <v>2403</v>
      </c>
      <c r="L106" s="74">
        <v>1</v>
      </c>
      <c r="M106" s="75">
        <v>959.8533325195312</v>
      </c>
      <c r="N106" s="75">
        <v>4542.87255859375</v>
      </c>
      <c r="O106" s="76"/>
      <c r="P106" s="77"/>
      <c r="Q106" s="77"/>
      <c r="R106" s="104"/>
      <c r="S106" s="49">
        <v>0</v>
      </c>
      <c r="T106" s="49">
        <v>1</v>
      </c>
      <c r="U106" s="50">
        <v>0</v>
      </c>
      <c r="V106" s="50">
        <v>0.000763</v>
      </c>
      <c r="W106" s="50">
        <v>0.000207</v>
      </c>
      <c r="X106" s="50">
        <v>0.406206</v>
      </c>
      <c r="Y106" s="50">
        <v>0</v>
      </c>
      <c r="Z106" s="50">
        <v>0</v>
      </c>
      <c r="AA106" s="72">
        <v>106</v>
      </c>
      <c r="AB106" s="72"/>
      <c r="AC106" s="73"/>
      <c r="AD106" s="89" t="s">
        <v>1579</v>
      </c>
      <c r="AE106" s="102" t="s">
        <v>1838</v>
      </c>
      <c r="AF106" s="89">
        <v>2779</v>
      </c>
      <c r="AG106" s="89">
        <v>1002</v>
      </c>
      <c r="AH106" s="89">
        <v>31292</v>
      </c>
      <c r="AI106" s="89">
        <v>109647</v>
      </c>
      <c r="AJ106" s="89"/>
      <c r="AK106" s="89" t="s">
        <v>2050</v>
      </c>
      <c r="AL106" s="89" t="s">
        <v>2247</v>
      </c>
      <c r="AM106" s="95" t="str">
        <f>HYPERLINK("https://t.co/RyA2ztFGMR")</f>
        <v>https://t.co/RyA2ztFGMR</v>
      </c>
      <c r="AN106" s="89"/>
      <c r="AO106" s="92">
        <v>41688.36766203704</v>
      </c>
      <c r="AP106" s="95" t="str">
        <f>HYPERLINK("https://pbs.twimg.com/profile_banners/2350222462/1405149281")</f>
        <v>https://pbs.twimg.com/profile_banners/2350222462/1405149281</v>
      </c>
      <c r="AQ106" s="89" t="b">
        <v>1</v>
      </c>
      <c r="AR106" s="89" t="b">
        <v>0</v>
      </c>
      <c r="AS106" s="89" t="b">
        <v>0</v>
      </c>
      <c r="AT106" s="89"/>
      <c r="AU106" s="89">
        <v>39</v>
      </c>
      <c r="AV106" s="95" t="str">
        <f>HYPERLINK("https://abs.twimg.com/images/themes/theme1/bg.png")</f>
        <v>https://abs.twimg.com/images/themes/theme1/bg.png</v>
      </c>
      <c r="AW106" s="89" t="b">
        <v>0</v>
      </c>
      <c r="AX106" s="89" t="s">
        <v>2300</v>
      </c>
      <c r="AY106" s="95" t="str">
        <f>HYPERLINK("https://twitter.com/mikkofabric")</f>
        <v>https://twitter.com/mikkofabric</v>
      </c>
      <c r="AZ106" s="89" t="s">
        <v>66</v>
      </c>
      <c r="BA106" s="89" t="str">
        <f>REPLACE(INDEX(GroupVertices[Group],MATCH(Vertices[[#This Row],[Vertex]],GroupVertices[Vertex],0)),1,1,"")</f>
        <v>2</v>
      </c>
      <c r="BB106" s="49">
        <v>0</v>
      </c>
      <c r="BC106" s="50">
        <v>0</v>
      </c>
      <c r="BD106" s="49">
        <v>0</v>
      </c>
      <c r="BE106" s="50">
        <v>0</v>
      </c>
      <c r="BF106" s="49">
        <v>0</v>
      </c>
      <c r="BG106" s="50">
        <v>0</v>
      </c>
      <c r="BH106" s="49">
        <v>25</v>
      </c>
      <c r="BI106" s="50">
        <v>100</v>
      </c>
      <c r="BJ106" s="49">
        <v>25</v>
      </c>
      <c r="BK106" s="49" t="s">
        <v>5195</v>
      </c>
      <c r="BL106" s="49" t="s">
        <v>5195</v>
      </c>
      <c r="BM106" s="49" t="s">
        <v>696</v>
      </c>
      <c r="BN106" s="49" t="s">
        <v>696</v>
      </c>
      <c r="BO106" s="49" t="s">
        <v>712</v>
      </c>
      <c r="BP106" s="49" t="s">
        <v>712</v>
      </c>
      <c r="BQ106" s="123" t="s">
        <v>5582</v>
      </c>
      <c r="BR106" s="123" t="s">
        <v>5582</v>
      </c>
      <c r="BS106" s="123" t="s">
        <v>5734</v>
      </c>
      <c r="BT106" s="123" t="s">
        <v>5734</v>
      </c>
      <c r="BU106" s="2"/>
      <c r="BV106" s="3"/>
      <c r="BW106" s="3"/>
      <c r="BX106" s="3"/>
      <c r="BY106" s="3"/>
    </row>
    <row r="107" spans="1:77" ht="15">
      <c r="A107" s="65" t="s">
        <v>270</v>
      </c>
      <c r="B107" s="66"/>
      <c r="C107" s="66" t="s">
        <v>46</v>
      </c>
      <c r="D107" s="67"/>
      <c r="E107" s="69"/>
      <c r="F107" s="111" t="str">
        <f>HYPERLINK("https://pbs.twimg.com/profile_images/1457292237872713730/qUfcEQk6_normal.png")</f>
        <v>https://pbs.twimg.com/profile_images/1457292237872713730/qUfcEQk6_normal.png</v>
      </c>
      <c r="G107" s="66"/>
      <c r="H107" s="70" t="s">
        <v>270</v>
      </c>
      <c r="I107" s="71" t="s">
        <v>5820</v>
      </c>
      <c r="J107" s="71" t="s">
        <v>73</v>
      </c>
      <c r="K107" s="70" t="s">
        <v>2404</v>
      </c>
      <c r="L107" s="74">
        <v>1</v>
      </c>
      <c r="M107" s="75">
        <v>3280.5126953125</v>
      </c>
      <c r="N107" s="75">
        <v>8007.9990234375</v>
      </c>
      <c r="O107" s="76"/>
      <c r="P107" s="77"/>
      <c r="Q107" s="77"/>
      <c r="R107" s="104"/>
      <c r="S107" s="49">
        <v>0</v>
      </c>
      <c r="T107" s="49">
        <v>5</v>
      </c>
      <c r="U107" s="50">
        <v>1940</v>
      </c>
      <c r="V107" s="50">
        <v>0.000745</v>
      </c>
      <c r="W107" s="50">
        <v>9.6E-05</v>
      </c>
      <c r="X107" s="50">
        <v>2.365394</v>
      </c>
      <c r="Y107" s="50">
        <v>0</v>
      </c>
      <c r="Z107" s="50">
        <v>0</v>
      </c>
      <c r="AA107" s="72">
        <v>107</v>
      </c>
      <c r="AB107" s="72"/>
      <c r="AC107" s="73"/>
      <c r="AD107" s="89" t="s">
        <v>1580</v>
      </c>
      <c r="AE107" s="102" t="s">
        <v>1839</v>
      </c>
      <c r="AF107" s="89">
        <v>5</v>
      </c>
      <c r="AG107" s="89">
        <v>2</v>
      </c>
      <c r="AH107" s="89">
        <v>53</v>
      </c>
      <c r="AI107" s="89">
        <v>82</v>
      </c>
      <c r="AJ107" s="89"/>
      <c r="AK107" s="89" t="s">
        <v>2051</v>
      </c>
      <c r="AL107" s="89" t="s">
        <v>2231</v>
      </c>
      <c r="AM107" s="89"/>
      <c r="AN107" s="89"/>
      <c r="AO107" s="92">
        <v>44507.43193287037</v>
      </c>
      <c r="AP107" s="89"/>
      <c r="AQ107" s="89" t="b">
        <v>1</v>
      </c>
      <c r="AR107" s="89" t="b">
        <v>0</v>
      </c>
      <c r="AS107" s="89" t="b">
        <v>0</v>
      </c>
      <c r="AT107" s="89"/>
      <c r="AU107" s="89">
        <v>0</v>
      </c>
      <c r="AV107" s="89"/>
      <c r="AW107" s="89" t="b">
        <v>0</v>
      </c>
      <c r="AX107" s="89" t="s">
        <v>2300</v>
      </c>
      <c r="AY107" s="95" t="str">
        <f>HYPERLINK("https://twitter.com/paulapauleena")</f>
        <v>https://twitter.com/paulapauleena</v>
      </c>
      <c r="AZ107" s="89" t="s">
        <v>66</v>
      </c>
      <c r="BA107" s="89" t="str">
        <f>REPLACE(INDEX(GroupVertices[Group],MATCH(Vertices[[#This Row],[Vertex]],GroupVertices[Vertex],0)),1,1,"")</f>
        <v>4</v>
      </c>
      <c r="BB107" s="49">
        <v>0</v>
      </c>
      <c r="BC107" s="50">
        <v>0</v>
      </c>
      <c r="BD107" s="49">
        <v>0</v>
      </c>
      <c r="BE107" s="50">
        <v>0</v>
      </c>
      <c r="BF107" s="49">
        <v>0</v>
      </c>
      <c r="BG107" s="50">
        <v>0</v>
      </c>
      <c r="BH107" s="49">
        <v>97</v>
      </c>
      <c r="BI107" s="50">
        <v>100</v>
      </c>
      <c r="BJ107" s="49">
        <v>97</v>
      </c>
      <c r="BK107" s="49"/>
      <c r="BL107" s="49"/>
      <c r="BM107" s="49"/>
      <c r="BN107" s="49"/>
      <c r="BO107" s="49"/>
      <c r="BP107" s="49"/>
      <c r="BQ107" s="123" t="s">
        <v>5584</v>
      </c>
      <c r="BR107" s="123" t="s">
        <v>5665</v>
      </c>
      <c r="BS107" s="123" t="s">
        <v>5736</v>
      </c>
      <c r="BT107" s="123" t="s">
        <v>5806</v>
      </c>
      <c r="BU107" s="2"/>
      <c r="BV107" s="3"/>
      <c r="BW107" s="3"/>
      <c r="BX107" s="3"/>
      <c r="BY107" s="3"/>
    </row>
    <row r="108" spans="1:77" ht="15">
      <c r="A108" s="65" t="s">
        <v>425</v>
      </c>
      <c r="B108" s="66"/>
      <c r="C108" s="66" t="s">
        <v>46</v>
      </c>
      <c r="D108" s="67">
        <v>10</v>
      </c>
      <c r="E108" s="69"/>
      <c r="F108" s="111" t="str">
        <f>HYPERLINK("https://pbs.twimg.com/profile_images/1153586479857328128/pivR2zoH_normal.jpg")</f>
        <v>https://pbs.twimg.com/profile_images/1153586479857328128/pivR2zoH_normal.jpg</v>
      </c>
      <c r="G108" s="66"/>
      <c r="H108" s="70" t="s">
        <v>425</v>
      </c>
      <c r="I108" s="71" t="s">
        <v>5820</v>
      </c>
      <c r="J108" s="71" t="s">
        <v>75</v>
      </c>
      <c r="K108" s="70" t="s">
        <v>2405</v>
      </c>
      <c r="L108" s="74">
        <v>477.0952380952381</v>
      </c>
      <c r="M108" s="75">
        <v>3142.077880859375</v>
      </c>
      <c r="N108" s="75">
        <v>8785.107421875</v>
      </c>
      <c r="O108" s="76"/>
      <c r="P108" s="77"/>
      <c r="Q108" s="77"/>
      <c r="R108" s="104"/>
      <c r="S108" s="49">
        <v>1</v>
      </c>
      <c r="T108" s="49">
        <v>0</v>
      </c>
      <c r="U108" s="50">
        <v>0</v>
      </c>
      <c r="V108" s="50">
        <v>0.00063</v>
      </c>
      <c r="W108" s="50">
        <v>1.1E-05</v>
      </c>
      <c r="X108" s="50">
        <v>0.552117</v>
      </c>
      <c r="Y108" s="50">
        <v>0</v>
      </c>
      <c r="Z108" s="50">
        <v>0</v>
      </c>
      <c r="AA108" s="72">
        <v>108</v>
      </c>
      <c r="AB108" s="72"/>
      <c r="AC108" s="73"/>
      <c r="AD108" s="89" t="s">
        <v>1581</v>
      </c>
      <c r="AE108" s="102" t="s">
        <v>1840</v>
      </c>
      <c r="AF108" s="89">
        <v>200</v>
      </c>
      <c r="AG108" s="89">
        <v>2354</v>
      </c>
      <c r="AH108" s="89">
        <v>779</v>
      </c>
      <c r="AI108" s="89">
        <v>6074</v>
      </c>
      <c r="AJ108" s="89"/>
      <c r="AK108" s="89" t="s">
        <v>2052</v>
      </c>
      <c r="AL108" s="89"/>
      <c r="AM108" s="89"/>
      <c r="AN108" s="89"/>
      <c r="AO108" s="92">
        <v>43669.36293981481</v>
      </c>
      <c r="AP108" s="89"/>
      <c r="AQ108" s="89" t="b">
        <v>1</v>
      </c>
      <c r="AR108" s="89" t="b">
        <v>0</v>
      </c>
      <c r="AS108" s="89" t="b">
        <v>0</v>
      </c>
      <c r="AT108" s="89"/>
      <c r="AU108" s="89">
        <v>2</v>
      </c>
      <c r="AV108" s="89"/>
      <c r="AW108" s="89" t="b">
        <v>0</v>
      </c>
      <c r="AX108" s="89" t="s">
        <v>2300</v>
      </c>
      <c r="AY108" s="95" t="str">
        <f>HYPERLINK("https://twitter.com/matsronnback")</f>
        <v>https://twitter.com/matsronnback</v>
      </c>
      <c r="AZ108" s="89" t="s">
        <v>65</v>
      </c>
      <c r="BA108" s="89"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426</v>
      </c>
      <c r="B109" s="66"/>
      <c r="C109" s="66" t="s">
        <v>46</v>
      </c>
      <c r="D109" s="67">
        <v>10</v>
      </c>
      <c r="E109" s="69"/>
      <c r="F109" s="111" t="str">
        <f>HYPERLINK("https://pbs.twimg.com/profile_images/1448363711115186178/6Qs2KeuF_normal.jpg")</f>
        <v>https://pbs.twimg.com/profile_images/1448363711115186178/6Qs2KeuF_normal.jpg</v>
      </c>
      <c r="G109" s="66"/>
      <c r="H109" s="70" t="s">
        <v>426</v>
      </c>
      <c r="I109" s="71" t="s">
        <v>5820</v>
      </c>
      <c r="J109" s="71" t="s">
        <v>75</v>
      </c>
      <c r="K109" s="70" t="s">
        <v>2406</v>
      </c>
      <c r="L109" s="74">
        <v>477.0952380952381</v>
      </c>
      <c r="M109" s="75">
        <v>3037.570556640625</v>
      </c>
      <c r="N109" s="75">
        <v>7323.66943359375</v>
      </c>
      <c r="O109" s="76"/>
      <c r="P109" s="77"/>
      <c r="Q109" s="77"/>
      <c r="R109" s="104"/>
      <c r="S109" s="49">
        <v>1</v>
      </c>
      <c r="T109" s="49">
        <v>0</v>
      </c>
      <c r="U109" s="50">
        <v>0</v>
      </c>
      <c r="V109" s="50">
        <v>0.00063</v>
      </c>
      <c r="W109" s="50">
        <v>1.1E-05</v>
      </c>
      <c r="X109" s="50">
        <v>0.552117</v>
      </c>
      <c r="Y109" s="50">
        <v>0</v>
      </c>
      <c r="Z109" s="50">
        <v>0</v>
      </c>
      <c r="AA109" s="72">
        <v>109</v>
      </c>
      <c r="AB109" s="72"/>
      <c r="AC109" s="73"/>
      <c r="AD109" s="89" t="s">
        <v>1582</v>
      </c>
      <c r="AE109" s="102" t="s">
        <v>1372</v>
      </c>
      <c r="AF109" s="89">
        <v>316</v>
      </c>
      <c r="AG109" s="89">
        <v>442</v>
      </c>
      <c r="AH109" s="89">
        <v>18251</v>
      </c>
      <c r="AI109" s="89">
        <v>101600</v>
      </c>
      <c r="AJ109" s="89"/>
      <c r="AK109" s="89" t="s">
        <v>2053</v>
      </c>
      <c r="AL109" s="89" t="s">
        <v>2223</v>
      </c>
      <c r="AM109" s="89"/>
      <c r="AN109" s="89"/>
      <c r="AO109" s="92">
        <v>44060.70854166667</v>
      </c>
      <c r="AP109" s="89"/>
      <c r="AQ109" s="89" t="b">
        <v>1</v>
      </c>
      <c r="AR109" s="89" t="b">
        <v>0</v>
      </c>
      <c r="AS109" s="89" t="b">
        <v>0</v>
      </c>
      <c r="AT109" s="89"/>
      <c r="AU109" s="89">
        <v>2</v>
      </c>
      <c r="AV109" s="89"/>
      <c r="AW109" s="89" t="b">
        <v>0</v>
      </c>
      <c r="AX109" s="89" t="s">
        <v>2300</v>
      </c>
      <c r="AY109" s="95" t="str">
        <f>HYPERLINK("https://twitter.com/hobfit1")</f>
        <v>https://twitter.com/hobfit1</v>
      </c>
      <c r="AZ109" s="89" t="s">
        <v>65</v>
      </c>
      <c r="BA109" s="89"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427</v>
      </c>
      <c r="B110" s="66"/>
      <c r="C110" s="66" t="s">
        <v>46</v>
      </c>
      <c r="D110" s="67">
        <v>10</v>
      </c>
      <c r="E110" s="69"/>
      <c r="F110" s="111" t="str">
        <f>HYPERLINK("https://pbs.twimg.com/profile_images/974321357570879491/oROLrIa5_normal.jpg")</f>
        <v>https://pbs.twimg.com/profile_images/974321357570879491/oROLrIa5_normal.jpg</v>
      </c>
      <c r="G110" s="66"/>
      <c r="H110" s="70" t="s">
        <v>427</v>
      </c>
      <c r="I110" s="71" t="s">
        <v>5820</v>
      </c>
      <c r="J110" s="71" t="s">
        <v>75</v>
      </c>
      <c r="K110" s="70" t="s">
        <v>2407</v>
      </c>
      <c r="L110" s="74">
        <v>477.0952380952381</v>
      </c>
      <c r="M110" s="75">
        <v>3285.38427734375</v>
      </c>
      <c r="N110" s="75">
        <v>9021.005859375</v>
      </c>
      <c r="O110" s="76"/>
      <c r="P110" s="77"/>
      <c r="Q110" s="77"/>
      <c r="R110" s="104"/>
      <c r="S110" s="49">
        <v>1</v>
      </c>
      <c r="T110" s="49">
        <v>0</v>
      </c>
      <c r="U110" s="50">
        <v>0</v>
      </c>
      <c r="V110" s="50">
        <v>0.00063</v>
      </c>
      <c r="W110" s="50">
        <v>1.1E-05</v>
      </c>
      <c r="X110" s="50">
        <v>0.552117</v>
      </c>
      <c r="Y110" s="50">
        <v>0</v>
      </c>
      <c r="Z110" s="50">
        <v>0</v>
      </c>
      <c r="AA110" s="72">
        <v>110</v>
      </c>
      <c r="AB110" s="72"/>
      <c r="AC110" s="73"/>
      <c r="AD110" s="89" t="s">
        <v>427</v>
      </c>
      <c r="AE110" s="102" t="s">
        <v>1841</v>
      </c>
      <c r="AF110" s="89">
        <v>202</v>
      </c>
      <c r="AG110" s="89">
        <v>220</v>
      </c>
      <c r="AH110" s="89">
        <v>2429</v>
      </c>
      <c r="AI110" s="89">
        <v>12334</v>
      </c>
      <c r="AJ110" s="89"/>
      <c r="AK110" s="89"/>
      <c r="AL110" s="89"/>
      <c r="AM110" s="89"/>
      <c r="AN110" s="89"/>
      <c r="AO110" s="92">
        <v>43121.335706018515</v>
      </c>
      <c r="AP110" s="95" t="str">
        <f>HYPERLINK("https://pbs.twimg.com/profile_banners/954987784774832128/1610565077")</f>
        <v>https://pbs.twimg.com/profile_banners/954987784774832128/1610565077</v>
      </c>
      <c r="AQ110" s="89" t="b">
        <v>1</v>
      </c>
      <c r="AR110" s="89" t="b">
        <v>0</v>
      </c>
      <c r="AS110" s="89" t="b">
        <v>0</v>
      </c>
      <c r="AT110" s="89"/>
      <c r="AU110" s="89">
        <v>0</v>
      </c>
      <c r="AV110" s="89"/>
      <c r="AW110" s="89" t="b">
        <v>0</v>
      </c>
      <c r="AX110" s="89" t="s">
        <v>2300</v>
      </c>
      <c r="AY110" s="95" t="str">
        <f>HYPERLINK("https://twitter.com/jussi2018")</f>
        <v>https://twitter.com/jussi2018</v>
      </c>
      <c r="AZ110" s="89" t="s">
        <v>65</v>
      </c>
      <c r="BA110" s="89"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428</v>
      </c>
      <c r="B111" s="66"/>
      <c r="C111" s="66" t="s">
        <v>46</v>
      </c>
      <c r="D111" s="67">
        <v>10</v>
      </c>
      <c r="E111" s="69"/>
      <c r="F111" s="111" t="str">
        <f>HYPERLINK("https://pbs.twimg.com/profile_images/1440805522710564865/hf2iDKd-_normal.jpg")</f>
        <v>https://pbs.twimg.com/profile_images/1440805522710564865/hf2iDKd-_normal.jpg</v>
      </c>
      <c r="G111" s="66"/>
      <c r="H111" s="70" t="s">
        <v>428</v>
      </c>
      <c r="I111" s="71" t="s">
        <v>5820</v>
      </c>
      <c r="J111" s="71" t="s">
        <v>75</v>
      </c>
      <c r="K111" s="70" t="s">
        <v>2408</v>
      </c>
      <c r="L111" s="74">
        <v>477.0952380952381</v>
      </c>
      <c r="M111" s="75">
        <v>2951.831787109375</v>
      </c>
      <c r="N111" s="75">
        <v>8073.7265625</v>
      </c>
      <c r="O111" s="76"/>
      <c r="P111" s="77"/>
      <c r="Q111" s="77"/>
      <c r="R111" s="104"/>
      <c r="S111" s="49">
        <v>1</v>
      </c>
      <c r="T111" s="49">
        <v>0</v>
      </c>
      <c r="U111" s="50">
        <v>0</v>
      </c>
      <c r="V111" s="50">
        <v>0.00063</v>
      </c>
      <c r="W111" s="50">
        <v>1.1E-05</v>
      </c>
      <c r="X111" s="50">
        <v>0.552117</v>
      </c>
      <c r="Y111" s="50">
        <v>0</v>
      </c>
      <c r="Z111" s="50">
        <v>0</v>
      </c>
      <c r="AA111" s="72">
        <v>111</v>
      </c>
      <c r="AB111" s="72"/>
      <c r="AC111" s="73"/>
      <c r="AD111" s="89" t="s">
        <v>1583</v>
      </c>
      <c r="AE111" s="102" t="s">
        <v>1373</v>
      </c>
      <c r="AF111" s="89">
        <v>405</v>
      </c>
      <c r="AG111" s="89">
        <v>903</v>
      </c>
      <c r="AH111" s="89">
        <v>884</v>
      </c>
      <c r="AI111" s="89">
        <v>1149</v>
      </c>
      <c r="AJ111" s="89"/>
      <c r="AK111" s="89" t="s">
        <v>2054</v>
      </c>
      <c r="AL111" s="89" t="s">
        <v>2217</v>
      </c>
      <c r="AM111" s="89"/>
      <c r="AN111" s="89"/>
      <c r="AO111" s="92">
        <v>42561.743425925924</v>
      </c>
      <c r="AP111" s="95" t="str">
        <f>HYPERLINK("https://pbs.twimg.com/profile_banners/752198331250671616/1598718715")</f>
        <v>https://pbs.twimg.com/profile_banners/752198331250671616/1598718715</v>
      </c>
      <c r="AQ111" s="89" t="b">
        <v>1</v>
      </c>
      <c r="AR111" s="89" t="b">
        <v>0</v>
      </c>
      <c r="AS111" s="89" t="b">
        <v>0</v>
      </c>
      <c r="AT111" s="89"/>
      <c r="AU111" s="89">
        <v>5</v>
      </c>
      <c r="AV111" s="89"/>
      <c r="AW111" s="89" t="b">
        <v>0</v>
      </c>
      <c r="AX111" s="89" t="s">
        <v>2300</v>
      </c>
      <c r="AY111" s="95" t="str">
        <f>HYPERLINK("https://twitter.com/katariinag1234")</f>
        <v>https://twitter.com/katariinag1234</v>
      </c>
      <c r="AZ111" s="89" t="s">
        <v>65</v>
      </c>
      <c r="BA111" s="89"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429</v>
      </c>
      <c r="B112" s="66"/>
      <c r="C112" s="66" t="s">
        <v>64</v>
      </c>
      <c r="D112" s="67">
        <v>617.0157208378039</v>
      </c>
      <c r="E112" s="69"/>
      <c r="F112" s="111" t="str">
        <f>HYPERLINK("https://pbs.twimg.com/profile_images/1461239986456571906/RafHGzuo_normal.jpg")</f>
        <v>https://pbs.twimg.com/profile_images/1461239986456571906/RafHGzuo_normal.jpg</v>
      </c>
      <c r="G112" s="66"/>
      <c r="H112" s="70" t="s">
        <v>429</v>
      </c>
      <c r="I112" s="71" t="s">
        <v>5820</v>
      </c>
      <c r="J112" s="71" t="s">
        <v>75</v>
      </c>
      <c r="K112" s="70" t="s">
        <v>2409</v>
      </c>
      <c r="L112" s="74">
        <v>1429.2857142857142</v>
      </c>
      <c r="M112" s="75">
        <v>3802.592041015625</v>
      </c>
      <c r="N112" s="75">
        <v>7214.0947265625</v>
      </c>
      <c r="O112" s="76"/>
      <c r="P112" s="77"/>
      <c r="Q112" s="77"/>
      <c r="R112" s="104"/>
      <c r="S112" s="49">
        <v>3</v>
      </c>
      <c r="T112" s="49">
        <v>0</v>
      </c>
      <c r="U112" s="50">
        <v>3492.46867</v>
      </c>
      <c r="V112" s="50">
        <v>0.000903</v>
      </c>
      <c r="W112" s="50">
        <v>0.000776</v>
      </c>
      <c r="X112" s="50">
        <v>1.193636</v>
      </c>
      <c r="Y112" s="50">
        <v>0</v>
      </c>
      <c r="Z112" s="50">
        <v>0</v>
      </c>
      <c r="AA112" s="72">
        <v>112</v>
      </c>
      <c r="AB112" s="72"/>
      <c r="AC112" s="73"/>
      <c r="AD112" s="89" t="s">
        <v>1584</v>
      </c>
      <c r="AE112" s="102" t="s">
        <v>1374</v>
      </c>
      <c r="AF112" s="89">
        <v>371</v>
      </c>
      <c r="AG112" s="89">
        <v>591</v>
      </c>
      <c r="AH112" s="89">
        <v>1032</v>
      </c>
      <c r="AI112" s="89">
        <v>2039</v>
      </c>
      <c r="AJ112" s="89"/>
      <c r="AK112" s="89" t="s">
        <v>2055</v>
      </c>
      <c r="AL112" s="89"/>
      <c r="AM112" s="89"/>
      <c r="AN112" s="89"/>
      <c r="AO112" s="92">
        <v>44278.530023148145</v>
      </c>
      <c r="AP112" s="89"/>
      <c r="AQ112" s="89" t="b">
        <v>1</v>
      </c>
      <c r="AR112" s="89" t="b">
        <v>0</v>
      </c>
      <c r="AS112" s="89" t="b">
        <v>0</v>
      </c>
      <c r="AT112" s="89"/>
      <c r="AU112" s="89">
        <v>1</v>
      </c>
      <c r="AV112" s="89"/>
      <c r="AW112" s="89" t="b">
        <v>0</v>
      </c>
      <c r="AX112" s="89" t="s">
        <v>2300</v>
      </c>
      <c r="AY112" s="95" t="str">
        <f>HYPERLINK("https://twitter.com/tomiaalto3")</f>
        <v>https://twitter.com/tomiaalto3</v>
      </c>
      <c r="AZ112" s="89" t="s">
        <v>65</v>
      </c>
      <c r="BA112" s="89"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430</v>
      </c>
      <c r="B113" s="66"/>
      <c r="C113" s="66" t="s">
        <v>64</v>
      </c>
      <c r="D113" s="67">
        <v>1000</v>
      </c>
      <c r="E113" s="69"/>
      <c r="F113" s="111" t="str">
        <f>HYPERLINK("https://pbs.twimg.com/profile_images/1212417477231202304/QL5wlQwF_normal.jpg")</f>
        <v>https://pbs.twimg.com/profile_images/1212417477231202304/QL5wlQwF_normal.jpg</v>
      </c>
      <c r="G113" s="66"/>
      <c r="H113" s="70" t="s">
        <v>430</v>
      </c>
      <c r="I113" s="71" t="s">
        <v>5834</v>
      </c>
      <c r="J113" s="71" t="s">
        <v>75</v>
      </c>
      <c r="K113" s="70" t="s">
        <v>2410</v>
      </c>
      <c r="L113" s="74">
        <v>8570.714285714286</v>
      </c>
      <c r="M113" s="75">
        <v>3805.297607421875</v>
      </c>
      <c r="N113" s="75">
        <v>2509.509033203125</v>
      </c>
      <c r="O113" s="76"/>
      <c r="P113" s="77"/>
      <c r="Q113" s="77"/>
      <c r="R113" s="104"/>
      <c r="S113" s="49">
        <v>18</v>
      </c>
      <c r="T113" s="49">
        <v>0</v>
      </c>
      <c r="U113" s="50">
        <v>4086.788911</v>
      </c>
      <c r="V113" s="50">
        <v>0.001106</v>
      </c>
      <c r="W113" s="50">
        <v>0.057326</v>
      </c>
      <c r="X113" s="50">
        <v>3.382254</v>
      </c>
      <c r="Y113" s="50">
        <v>0.06862745098039216</v>
      </c>
      <c r="Z113" s="50">
        <v>0</v>
      </c>
      <c r="AA113" s="72">
        <v>113</v>
      </c>
      <c r="AB113" s="72"/>
      <c r="AC113" s="73"/>
      <c r="AD113" s="89" t="s">
        <v>1585</v>
      </c>
      <c r="AE113" s="102" t="s">
        <v>1842</v>
      </c>
      <c r="AF113" s="89">
        <v>513</v>
      </c>
      <c r="AG113" s="89">
        <v>6405</v>
      </c>
      <c r="AH113" s="89">
        <v>703</v>
      </c>
      <c r="AI113" s="89">
        <v>873</v>
      </c>
      <c r="AJ113" s="89"/>
      <c r="AK113" s="89" t="s">
        <v>2056</v>
      </c>
      <c r="AL113" s="89" t="s">
        <v>2248</v>
      </c>
      <c r="AM113" s="95" t="str">
        <f>HYPERLINK("https://t.co/c6icqktSyl")</f>
        <v>https://t.co/c6icqktSyl</v>
      </c>
      <c r="AN113" s="89"/>
      <c r="AO113" s="92">
        <v>40999.70947916667</v>
      </c>
      <c r="AP113" s="95" t="str">
        <f>HYPERLINK("https://pbs.twimg.com/profile_banners/541810978/1619898009")</f>
        <v>https://pbs.twimg.com/profile_banners/541810978/1619898009</v>
      </c>
      <c r="AQ113" s="89" t="b">
        <v>0</v>
      </c>
      <c r="AR113" s="89" t="b">
        <v>0</v>
      </c>
      <c r="AS113" s="89" t="b">
        <v>0</v>
      </c>
      <c r="AT113" s="89"/>
      <c r="AU113" s="89">
        <v>27</v>
      </c>
      <c r="AV113" s="95" t="str">
        <f>HYPERLINK("https://abs.twimg.com/images/themes/theme1/bg.png")</f>
        <v>https://abs.twimg.com/images/themes/theme1/bg.png</v>
      </c>
      <c r="AW113" s="89" t="b">
        <v>0</v>
      </c>
      <c r="AX113" s="89" t="s">
        <v>2300</v>
      </c>
      <c r="AY113" s="95" t="str">
        <f>HYPERLINK("https://twitter.com/hnohynek")</f>
        <v>https://twitter.com/hnohynek</v>
      </c>
      <c r="AZ113" s="89" t="s">
        <v>65</v>
      </c>
      <c r="BA113" s="89"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431</v>
      </c>
      <c r="B114" s="66"/>
      <c r="C114" s="66" t="s">
        <v>64</v>
      </c>
      <c r="D114" s="67">
        <v>1000</v>
      </c>
      <c r="E114" s="69"/>
      <c r="F114" s="111" t="str">
        <f>HYPERLINK("https://pbs.twimg.com/profile_images/1033766486983237634/MhamqcQh_normal.jpg")</f>
        <v>https://pbs.twimg.com/profile_images/1033766486983237634/MhamqcQh_normal.jpg</v>
      </c>
      <c r="G114" s="66"/>
      <c r="H114" s="70" t="s">
        <v>431</v>
      </c>
      <c r="I114" s="71" t="s">
        <v>5834</v>
      </c>
      <c r="J114" s="71" t="s">
        <v>75</v>
      </c>
      <c r="K114" s="70" t="s">
        <v>2411</v>
      </c>
      <c r="L114" s="74">
        <v>8570.714285714286</v>
      </c>
      <c r="M114" s="75">
        <v>3859.945556640625</v>
      </c>
      <c r="N114" s="75">
        <v>2607.633544921875</v>
      </c>
      <c r="O114" s="76"/>
      <c r="P114" s="77"/>
      <c r="Q114" s="77"/>
      <c r="R114" s="104"/>
      <c r="S114" s="49">
        <v>18</v>
      </c>
      <c r="T114" s="49">
        <v>0</v>
      </c>
      <c r="U114" s="50">
        <v>4086.788911</v>
      </c>
      <c r="V114" s="50">
        <v>0.001106</v>
      </c>
      <c r="W114" s="50">
        <v>0.057326</v>
      </c>
      <c r="X114" s="50">
        <v>3.382254</v>
      </c>
      <c r="Y114" s="50">
        <v>0.06862745098039216</v>
      </c>
      <c r="Z114" s="50">
        <v>0</v>
      </c>
      <c r="AA114" s="72">
        <v>114</v>
      </c>
      <c r="AB114" s="72"/>
      <c r="AC114" s="73"/>
      <c r="AD114" s="89" t="s">
        <v>1586</v>
      </c>
      <c r="AE114" s="102" t="s">
        <v>1843</v>
      </c>
      <c r="AF114" s="89">
        <v>576</v>
      </c>
      <c r="AG114" s="89">
        <v>19420</v>
      </c>
      <c r="AH114" s="89">
        <v>11637</v>
      </c>
      <c r="AI114" s="89">
        <v>5893</v>
      </c>
      <c r="AJ114" s="89"/>
      <c r="AK114" s="89" t="s">
        <v>2057</v>
      </c>
      <c r="AL114" s="89" t="s">
        <v>2229</v>
      </c>
      <c r="AM114" s="95" t="str">
        <f>HYPERLINK("https://t.co/Qqgnn2jZcU")</f>
        <v>https://t.co/Qqgnn2jZcU</v>
      </c>
      <c r="AN114" s="89"/>
      <c r="AO114" s="92">
        <v>41475.58767361111</v>
      </c>
      <c r="AP114" s="95" t="str">
        <f>HYPERLINK("https://pbs.twimg.com/profile_banners/1608295104/1422651528")</f>
        <v>https://pbs.twimg.com/profile_banners/1608295104/1422651528</v>
      </c>
      <c r="AQ114" s="89" t="b">
        <v>0</v>
      </c>
      <c r="AR114" s="89" t="b">
        <v>0</v>
      </c>
      <c r="AS114" s="89" t="b">
        <v>1</v>
      </c>
      <c r="AT114" s="89"/>
      <c r="AU114" s="89">
        <v>125</v>
      </c>
      <c r="AV114" s="95" t="str">
        <f>HYPERLINK("https://abs.twimg.com/images/themes/theme4/bg.gif")</f>
        <v>https://abs.twimg.com/images/themes/theme4/bg.gif</v>
      </c>
      <c r="AW114" s="89" t="b">
        <v>1</v>
      </c>
      <c r="AX114" s="89" t="s">
        <v>2300</v>
      </c>
      <c r="AY114" s="95" t="str">
        <f>HYPERLINK("https://twitter.com/mika_salminen")</f>
        <v>https://twitter.com/mika_salminen</v>
      </c>
      <c r="AZ114" s="89" t="s">
        <v>65</v>
      </c>
      <c r="BA114" s="89"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368</v>
      </c>
      <c r="B115" s="66"/>
      <c r="C115" s="66" t="s">
        <v>64</v>
      </c>
      <c r="D115" s="67">
        <v>1000</v>
      </c>
      <c r="E115" s="69"/>
      <c r="F115" s="111" t="str">
        <f>HYPERLINK("https://pbs.twimg.com/profile_images/1365927917440667650/mu525BUe_normal.jpg")</f>
        <v>https://pbs.twimg.com/profile_images/1365927917440667650/mu525BUe_normal.jpg</v>
      </c>
      <c r="G115" s="66"/>
      <c r="H115" s="70" t="s">
        <v>368</v>
      </c>
      <c r="I115" s="71" t="s">
        <v>5834</v>
      </c>
      <c r="J115" s="71" t="s">
        <v>73</v>
      </c>
      <c r="K115" s="70" t="s">
        <v>2412</v>
      </c>
      <c r="L115" s="74">
        <v>8094.619047619048</v>
      </c>
      <c r="M115" s="75">
        <v>3857.373779296875</v>
      </c>
      <c r="N115" s="75">
        <v>2449.83544921875</v>
      </c>
      <c r="O115" s="76"/>
      <c r="P115" s="77"/>
      <c r="Q115" s="77"/>
      <c r="R115" s="104"/>
      <c r="S115" s="49">
        <v>17</v>
      </c>
      <c r="T115" s="49">
        <v>2</v>
      </c>
      <c r="U115" s="50">
        <v>4086.900022</v>
      </c>
      <c r="V115" s="50">
        <v>0.001107</v>
      </c>
      <c r="W115" s="50">
        <v>0.063317</v>
      </c>
      <c r="X115" s="50">
        <v>3.543178</v>
      </c>
      <c r="Y115" s="50">
        <v>0.1111111111111111</v>
      </c>
      <c r="Z115" s="50">
        <v>0</v>
      </c>
      <c r="AA115" s="72">
        <v>115</v>
      </c>
      <c r="AB115" s="72"/>
      <c r="AC115" s="73"/>
      <c r="AD115" s="89" t="s">
        <v>1587</v>
      </c>
      <c r="AE115" s="102" t="s">
        <v>1425</v>
      </c>
      <c r="AF115" s="89">
        <v>98</v>
      </c>
      <c r="AG115" s="89">
        <v>213</v>
      </c>
      <c r="AH115" s="89">
        <v>1795</v>
      </c>
      <c r="AI115" s="89">
        <v>1799</v>
      </c>
      <c r="AJ115" s="89"/>
      <c r="AK115" s="89" t="s">
        <v>2058</v>
      </c>
      <c r="AL115" s="89"/>
      <c r="AM115" s="89"/>
      <c r="AN115" s="89"/>
      <c r="AO115" s="92">
        <v>44255.31306712963</v>
      </c>
      <c r="AP115" s="95" t="str">
        <f>HYPERLINK("https://pbs.twimg.com/profile_banners/1365927342460325889/1627716510")</f>
        <v>https://pbs.twimg.com/profile_banners/1365927342460325889/1627716510</v>
      </c>
      <c r="AQ115" s="89" t="b">
        <v>1</v>
      </c>
      <c r="AR115" s="89" t="b">
        <v>0</v>
      </c>
      <c r="AS115" s="89" t="b">
        <v>0</v>
      </c>
      <c r="AT115" s="89"/>
      <c r="AU115" s="89">
        <v>2</v>
      </c>
      <c r="AV115" s="89"/>
      <c r="AW115" s="89" t="b">
        <v>0</v>
      </c>
      <c r="AX115" s="89" t="s">
        <v>2300</v>
      </c>
      <c r="AY115" s="95" t="str">
        <f>HYPERLINK("https://twitter.com/koronakuiskaaja")</f>
        <v>https://twitter.com/koronakuiskaaja</v>
      </c>
      <c r="AZ115" s="89" t="s">
        <v>66</v>
      </c>
      <c r="BA115" s="89" t="str">
        <f>REPLACE(INDEX(GroupVertices[Group],MATCH(Vertices[[#This Row],[Vertex]],GroupVertices[Vertex],0)),1,1,"")</f>
        <v>3</v>
      </c>
      <c r="BB115" s="49">
        <v>0</v>
      </c>
      <c r="BC115" s="50">
        <v>0</v>
      </c>
      <c r="BD115" s="49">
        <v>0</v>
      </c>
      <c r="BE115" s="50">
        <v>0</v>
      </c>
      <c r="BF115" s="49">
        <v>0</v>
      </c>
      <c r="BG115" s="50">
        <v>0</v>
      </c>
      <c r="BH115" s="49">
        <v>13</v>
      </c>
      <c r="BI115" s="50">
        <v>100</v>
      </c>
      <c r="BJ115" s="49">
        <v>13</v>
      </c>
      <c r="BK115" s="49"/>
      <c r="BL115" s="49"/>
      <c r="BM115" s="49"/>
      <c r="BN115" s="49"/>
      <c r="BO115" s="49" t="s">
        <v>712</v>
      </c>
      <c r="BP115" s="49" t="s">
        <v>712</v>
      </c>
      <c r="BQ115" s="123" t="s">
        <v>5561</v>
      </c>
      <c r="BR115" s="123" t="s">
        <v>5561</v>
      </c>
      <c r="BS115" s="123" t="s">
        <v>5713</v>
      </c>
      <c r="BT115" s="123" t="s">
        <v>5713</v>
      </c>
      <c r="BU115" s="2"/>
      <c r="BV115" s="3"/>
      <c r="BW115" s="3"/>
      <c r="BX115" s="3"/>
      <c r="BY115" s="3"/>
    </row>
    <row r="116" spans="1:77" ht="15">
      <c r="A116" s="65" t="s">
        <v>272</v>
      </c>
      <c r="B116" s="66"/>
      <c r="C116" s="66" t="s">
        <v>46</v>
      </c>
      <c r="D116" s="67"/>
      <c r="E116" s="69"/>
      <c r="F116" s="111" t="str">
        <f>HYPERLINK("https://pbs.twimg.com/profile_images/1449331575489978373/dK5cPyuG_normal.jpg")</f>
        <v>https://pbs.twimg.com/profile_images/1449331575489978373/dK5cPyuG_normal.jpg</v>
      </c>
      <c r="G116" s="66"/>
      <c r="H116" s="70" t="s">
        <v>272</v>
      </c>
      <c r="I116" s="71" t="s">
        <v>5834</v>
      </c>
      <c r="J116" s="71" t="s">
        <v>73</v>
      </c>
      <c r="K116" s="70" t="s">
        <v>2413</v>
      </c>
      <c r="L116" s="74">
        <v>1</v>
      </c>
      <c r="M116" s="75">
        <v>3637.93017578125</v>
      </c>
      <c r="N116" s="75">
        <v>1798.265380859375</v>
      </c>
      <c r="O116" s="76"/>
      <c r="P116" s="77"/>
      <c r="Q116" s="77"/>
      <c r="R116" s="104"/>
      <c r="S116" s="49">
        <v>0</v>
      </c>
      <c r="T116" s="49">
        <v>3</v>
      </c>
      <c r="U116" s="50">
        <v>0.111111</v>
      </c>
      <c r="V116" s="50">
        <v>0.000873</v>
      </c>
      <c r="W116" s="50">
        <v>0.020768000000000002</v>
      </c>
      <c r="X116" s="50">
        <v>0.627945</v>
      </c>
      <c r="Y116" s="50">
        <v>0.3333333333333333</v>
      </c>
      <c r="Z116" s="50">
        <v>0</v>
      </c>
      <c r="AA116" s="72">
        <v>116</v>
      </c>
      <c r="AB116" s="72"/>
      <c r="AC116" s="73"/>
      <c r="AD116" s="89" t="s">
        <v>1588</v>
      </c>
      <c r="AE116" s="102" t="s">
        <v>1844</v>
      </c>
      <c r="AF116" s="89">
        <v>798</v>
      </c>
      <c r="AG116" s="89">
        <v>431</v>
      </c>
      <c r="AH116" s="89">
        <v>7074</v>
      </c>
      <c r="AI116" s="89">
        <v>13939</v>
      </c>
      <c r="AJ116" s="89"/>
      <c r="AK116" s="89" t="s">
        <v>2059</v>
      </c>
      <c r="AL116" s="89" t="s">
        <v>2249</v>
      </c>
      <c r="AM116" s="89"/>
      <c r="AN116" s="89"/>
      <c r="AO116" s="92">
        <v>44179.40837962963</v>
      </c>
      <c r="AP116" s="95" t="str">
        <f>HYPERLINK("https://pbs.twimg.com/profile_banners/1338420168834375684/1634382438")</f>
        <v>https://pbs.twimg.com/profile_banners/1338420168834375684/1634382438</v>
      </c>
      <c r="AQ116" s="89" t="b">
        <v>1</v>
      </c>
      <c r="AR116" s="89" t="b">
        <v>0</v>
      </c>
      <c r="AS116" s="89" t="b">
        <v>0</v>
      </c>
      <c r="AT116" s="89"/>
      <c r="AU116" s="89">
        <v>2</v>
      </c>
      <c r="AV116" s="89"/>
      <c r="AW116" s="89" t="b">
        <v>0</v>
      </c>
      <c r="AX116" s="89" t="s">
        <v>2300</v>
      </c>
      <c r="AY116" s="95" t="str">
        <f>HYPERLINK("https://twitter.com/ardenorde")</f>
        <v>https://twitter.com/ardenorde</v>
      </c>
      <c r="AZ116" s="89" t="s">
        <v>66</v>
      </c>
      <c r="BA116" s="89" t="str">
        <f>REPLACE(INDEX(GroupVertices[Group],MATCH(Vertices[[#This Row],[Vertex]],GroupVertices[Vertex],0)),1,1,"")</f>
        <v>3</v>
      </c>
      <c r="BB116" s="49">
        <v>0</v>
      </c>
      <c r="BC116" s="50">
        <v>0</v>
      </c>
      <c r="BD116" s="49">
        <v>0</v>
      </c>
      <c r="BE116" s="50">
        <v>0</v>
      </c>
      <c r="BF116" s="49">
        <v>0</v>
      </c>
      <c r="BG116" s="50">
        <v>0</v>
      </c>
      <c r="BH116" s="49">
        <v>13</v>
      </c>
      <c r="BI116" s="50">
        <v>100</v>
      </c>
      <c r="BJ116" s="49">
        <v>13</v>
      </c>
      <c r="BK116" s="49"/>
      <c r="BL116" s="49"/>
      <c r="BM116" s="49"/>
      <c r="BN116" s="49"/>
      <c r="BO116" s="49" t="s">
        <v>712</v>
      </c>
      <c r="BP116" s="49" t="s">
        <v>712</v>
      </c>
      <c r="BQ116" s="123" t="s">
        <v>5561</v>
      </c>
      <c r="BR116" s="123" t="s">
        <v>5561</v>
      </c>
      <c r="BS116" s="123" t="s">
        <v>5713</v>
      </c>
      <c r="BT116" s="123" t="s">
        <v>5713</v>
      </c>
      <c r="BU116" s="2"/>
      <c r="BV116" s="3"/>
      <c r="BW116" s="3"/>
      <c r="BX116" s="3"/>
      <c r="BY116" s="3"/>
    </row>
    <row r="117" spans="1:77" ht="15">
      <c r="A117" s="65" t="s">
        <v>273</v>
      </c>
      <c r="B117" s="66"/>
      <c r="C117" s="66" t="s">
        <v>46</v>
      </c>
      <c r="D117" s="67"/>
      <c r="E117" s="69"/>
      <c r="F117" s="111" t="str">
        <f>HYPERLINK("https://pbs.twimg.com/profile_images/460915173495017473/x-Bb3LY1_normal.jpeg")</f>
        <v>https://pbs.twimg.com/profile_images/460915173495017473/x-Bb3LY1_normal.jpeg</v>
      </c>
      <c r="G117" s="66"/>
      <c r="H117" s="70" t="s">
        <v>273</v>
      </c>
      <c r="I117" s="71" t="s">
        <v>5822</v>
      </c>
      <c r="J117" s="71" t="s">
        <v>73</v>
      </c>
      <c r="K117" s="70" t="s">
        <v>2414</v>
      </c>
      <c r="L117" s="74">
        <v>1</v>
      </c>
      <c r="M117" s="75">
        <v>6656.25048828125</v>
      </c>
      <c r="N117" s="75">
        <v>9363.0087890625</v>
      </c>
      <c r="O117" s="76"/>
      <c r="P117" s="77"/>
      <c r="Q117" s="77"/>
      <c r="R117" s="104"/>
      <c r="S117" s="49">
        <v>0</v>
      </c>
      <c r="T117" s="49">
        <v>2</v>
      </c>
      <c r="U117" s="50">
        <v>0</v>
      </c>
      <c r="V117" s="50">
        <v>0.000894</v>
      </c>
      <c r="W117" s="50">
        <v>0.001914</v>
      </c>
      <c r="X117" s="50">
        <v>0.605386</v>
      </c>
      <c r="Y117" s="50">
        <v>0.5</v>
      </c>
      <c r="Z117" s="50">
        <v>0</v>
      </c>
      <c r="AA117" s="72">
        <v>117</v>
      </c>
      <c r="AB117" s="72"/>
      <c r="AC117" s="73"/>
      <c r="AD117" s="89" t="s">
        <v>1589</v>
      </c>
      <c r="AE117" s="102" t="s">
        <v>1845</v>
      </c>
      <c r="AF117" s="89">
        <v>1192</v>
      </c>
      <c r="AG117" s="89">
        <v>733</v>
      </c>
      <c r="AH117" s="89">
        <v>12997</v>
      </c>
      <c r="AI117" s="89">
        <v>27678</v>
      </c>
      <c r="AJ117" s="89"/>
      <c r="AK117" s="89" t="s">
        <v>2060</v>
      </c>
      <c r="AL117" s="89" t="s">
        <v>2218</v>
      </c>
      <c r="AM117" s="89"/>
      <c r="AN117" s="89"/>
      <c r="AO117" s="92">
        <v>41338.4462037037</v>
      </c>
      <c r="AP117" s="89"/>
      <c r="AQ117" s="89" t="b">
        <v>1</v>
      </c>
      <c r="AR117" s="89" t="b">
        <v>0</v>
      </c>
      <c r="AS117" s="89" t="b">
        <v>0</v>
      </c>
      <c r="AT117" s="89"/>
      <c r="AU117" s="89">
        <v>20</v>
      </c>
      <c r="AV117" s="95" t="str">
        <f>HYPERLINK("https://abs.twimg.com/images/themes/theme1/bg.png")</f>
        <v>https://abs.twimg.com/images/themes/theme1/bg.png</v>
      </c>
      <c r="AW117" s="89" t="b">
        <v>0</v>
      </c>
      <c r="AX117" s="89" t="s">
        <v>2300</v>
      </c>
      <c r="AY117" s="95" t="str">
        <f>HYPERLINK("https://twitter.com/heinikettunen")</f>
        <v>https://twitter.com/heinikettunen</v>
      </c>
      <c r="AZ117" s="89" t="s">
        <v>66</v>
      </c>
      <c r="BA117" s="89" t="str">
        <f>REPLACE(INDEX(GroupVertices[Group],MATCH(Vertices[[#This Row],[Vertex]],GroupVertices[Vertex],0)),1,1,"")</f>
        <v>5</v>
      </c>
      <c r="BB117" s="49">
        <v>0</v>
      </c>
      <c r="BC117" s="50">
        <v>0</v>
      </c>
      <c r="BD117" s="49">
        <v>0</v>
      </c>
      <c r="BE117" s="50">
        <v>0</v>
      </c>
      <c r="BF117" s="49">
        <v>0</v>
      </c>
      <c r="BG117" s="50">
        <v>0</v>
      </c>
      <c r="BH117" s="49">
        <v>29</v>
      </c>
      <c r="BI117" s="50">
        <v>100</v>
      </c>
      <c r="BJ117" s="49">
        <v>29</v>
      </c>
      <c r="BK117" s="49"/>
      <c r="BL117" s="49"/>
      <c r="BM117" s="49"/>
      <c r="BN117" s="49"/>
      <c r="BO117" s="49" t="s">
        <v>226</v>
      </c>
      <c r="BP117" s="49" t="s">
        <v>226</v>
      </c>
      <c r="BQ117" s="123" t="s">
        <v>5585</v>
      </c>
      <c r="BR117" s="123" t="s">
        <v>5585</v>
      </c>
      <c r="BS117" s="123" t="s">
        <v>5737</v>
      </c>
      <c r="BT117" s="123" t="s">
        <v>5737</v>
      </c>
      <c r="BU117" s="2"/>
      <c r="BV117" s="3"/>
      <c r="BW117" s="3"/>
      <c r="BX117" s="3"/>
      <c r="BY117" s="3"/>
    </row>
    <row r="118" spans="1:77" ht="15">
      <c r="A118" s="65" t="s">
        <v>432</v>
      </c>
      <c r="B118" s="66"/>
      <c r="C118" s="66" t="s">
        <v>64</v>
      </c>
      <c r="D118" s="67">
        <v>1000</v>
      </c>
      <c r="E118" s="69"/>
      <c r="F118" s="111" t="str">
        <f>HYPERLINK("https://pbs.twimg.com/profile_images/1358814208364847112/NPRKwgt5_normal.jpg")</f>
        <v>https://pbs.twimg.com/profile_images/1358814208364847112/NPRKwgt5_normal.jpg</v>
      </c>
      <c r="G118" s="66"/>
      <c r="H118" s="70" t="s">
        <v>432</v>
      </c>
      <c r="I118" s="71" t="s">
        <v>5822</v>
      </c>
      <c r="J118" s="71" t="s">
        <v>75</v>
      </c>
      <c r="K118" s="70" t="s">
        <v>2415</v>
      </c>
      <c r="L118" s="74">
        <v>6190.238095238095</v>
      </c>
      <c r="M118" s="75">
        <v>6478.751953125</v>
      </c>
      <c r="N118" s="75">
        <v>9232.353515625</v>
      </c>
      <c r="O118" s="76"/>
      <c r="P118" s="77"/>
      <c r="Q118" s="77"/>
      <c r="R118" s="104"/>
      <c r="S118" s="49">
        <v>13</v>
      </c>
      <c r="T118" s="49">
        <v>0</v>
      </c>
      <c r="U118" s="50">
        <v>10864.718484</v>
      </c>
      <c r="V118" s="50">
        <v>0.00111</v>
      </c>
      <c r="W118" s="50">
        <v>0.006905</v>
      </c>
      <c r="X118" s="50">
        <v>3.433917</v>
      </c>
      <c r="Y118" s="50">
        <v>0.07051282051282051</v>
      </c>
      <c r="Z118" s="50">
        <v>0</v>
      </c>
      <c r="AA118" s="72">
        <v>118</v>
      </c>
      <c r="AB118" s="72"/>
      <c r="AC118" s="73"/>
      <c r="AD118" s="89" t="s">
        <v>1590</v>
      </c>
      <c r="AE118" s="102" t="s">
        <v>1384</v>
      </c>
      <c r="AF118" s="89">
        <v>789</v>
      </c>
      <c r="AG118" s="89">
        <v>22086</v>
      </c>
      <c r="AH118" s="89">
        <v>5560</v>
      </c>
      <c r="AI118" s="89">
        <v>6593</v>
      </c>
      <c r="AJ118" s="89"/>
      <c r="AK118" s="89" t="s">
        <v>2061</v>
      </c>
      <c r="AL118" s="89" t="s">
        <v>2229</v>
      </c>
      <c r="AM118" s="95" t="str">
        <f>HYPERLINK("https://t.co/wTEgQIrAYd")</f>
        <v>https://t.co/wTEgQIrAYd</v>
      </c>
      <c r="AN118" s="89"/>
      <c r="AO118" s="92">
        <v>41015.46776620371</v>
      </c>
      <c r="AP118" s="95" t="str">
        <f>HYPERLINK("https://pbs.twimg.com/profile_banners/555126030/1530016179")</f>
        <v>https://pbs.twimg.com/profile_banners/555126030/1530016179</v>
      </c>
      <c r="AQ118" s="89" t="b">
        <v>0</v>
      </c>
      <c r="AR118" s="89" t="b">
        <v>0</v>
      </c>
      <c r="AS118" s="89" t="b">
        <v>0</v>
      </c>
      <c r="AT118" s="89"/>
      <c r="AU118" s="89">
        <v>120</v>
      </c>
      <c r="AV118" s="95" t="str">
        <f>HYPERLINK("https://abs.twimg.com/images/themes/theme1/bg.png")</f>
        <v>https://abs.twimg.com/images/themes/theme1/bg.png</v>
      </c>
      <c r="AW118" s="89" t="b">
        <v>0</v>
      </c>
      <c r="AX118" s="89" t="s">
        <v>2300</v>
      </c>
      <c r="AY118" s="95" t="str">
        <f>HYPERLINK("https://twitter.com/nasimarazmyar")</f>
        <v>https://twitter.com/nasimarazmyar</v>
      </c>
      <c r="AZ118" s="89" t="s">
        <v>65</v>
      </c>
      <c r="BA118" s="89"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274</v>
      </c>
      <c r="B119" s="66"/>
      <c r="C119" s="66" t="s">
        <v>46</v>
      </c>
      <c r="D119" s="67"/>
      <c r="E119" s="69"/>
      <c r="F119" s="111" t="str">
        <f>HYPERLINK("https://pbs.twimg.com/profile_images/1440677278061457431/n2PVL3RZ_normal.jpg")</f>
        <v>https://pbs.twimg.com/profile_images/1440677278061457431/n2PVL3RZ_normal.jpg</v>
      </c>
      <c r="G119" s="66"/>
      <c r="H119" s="70" t="s">
        <v>274</v>
      </c>
      <c r="I119" s="71" t="s">
        <v>5818</v>
      </c>
      <c r="J119" s="71" t="s">
        <v>73</v>
      </c>
      <c r="K119" s="70" t="s">
        <v>2416</v>
      </c>
      <c r="L119" s="74">
        <v>1</v>
      </c>
      <c r="M119" s="75">
        <v>1038.935302734375</v>
      </c>
      <c r="N119" s="75">
        <v>6379.39404296875</v>
      </c>
      <c r="O119" s="76"/>
      <c r="P119" s="77"/>
      <c r="Q119" s="77"/>
      <c r="R119" s="104"/>
      <c r="S119" s="49">
        <v>0</v>
      </c>
      <c r="T119" s="49">
        <v>9</v>
      </c>
      <c r="U119" s="50">
        <v>8044.944946</v>
      </c>
      <c r="V119" s="50">
        <v>0.001122</v>
      </c>
      <c r="W119" s="50">
        <v>0.027915</v>
      </c>
      <c r="X119" s="50">
        <v>1.918752</v>
      </c>
      <c r="Y119" s="50">
        <v>0.08333333333333333</v>
      </c>
      <c r="Z119" s="50">
        <v>0</v>
      </c>
      <c r="AA119" s="72">
        <v>119</v>
      </c>
      <c r="AB119" s="72"/>
      <c r="AC119" s="73"/>
      <c r="AD119" s="89" t="s">
        <v>1591</v>
      </c>
      <c r="AE119" s="102" t="s">
        <v>1846</v>
      </c>
      <c r="AF119" s="89">
        <v>2484</v>
      </c>
      <c r="AG119" s="89">
        <v>956</v>
      </c>
      <c r="AH119" s="89">
        <v>18757</v>
      </c>
      <c r="AI119" s="89">
        <v>23284</v>
      </c>
      <c r="AJ119" s="89"/>
      <c r="AK119" s="89" t="s">
        <v>2062</v>
      </c>
      <c r="AL119" s="89" t="s">
        <v>2250</v>
      </c>
      <c r="AM119" s="89"/>
      <c r="AN119" s="89"/>
      <c r="AO119" s="92">
        <v>44453.41100694444</v>
      </c>
      <c r="AP119" s="95" t="str">
        <f>HYPERLINK("https://pbs.twimg.com/profile_banners/1437715623530967041/1633151895")</f>
        <v>https://pbs.twimg.com/profile_banners/1437715623530967041/1633151895</v>
      </c>
      <c r="AQ119" s="89" t="b">
        <v>1</v>
      </c>
      <c r="AR119" s="89" t="b">
        <v>0</v>
      </c>
      <c r="AS119" s="89" t="b">
        <v>0</v>
      </c>
      <c r="AT119" s="89"/>
      <c r="AU119" s="89">
        <v>3</v>
      </c>
      <c r="AV119" s="89"/>
      <c r="AW119" s="89" t="b">
        <v>0</v>
      </c>
      <c r="AX119" s="89" t="s">
        <v>2300</v>
      </c>
      <c r="AY119" s="95" t="str">
        <f>HYPERLINK("https://twitter.com/river17_eaglle")</f>
        <v>https://twitter.com/river17_eaglle</v>
      </c>
      <c r="AZ119" s="89" t="s">
        <v>66</v>
      </c>
      <c r="BA119" s="89" t="str">
        <f>REPLACE(INDEX(GroupVertices[Group],MATCH(Vertices[[#This Row],[Vertex]],GroupVertices[Vertex],0)),1,1,"")</f>
        <v>1</v>
      </c>
      <c r="BB119" s="49">
        <v>0</v>
      </c>
      <c r="BC119" s="50">
        <v>0</v>
      </c>
      <c r="BD119" s="49">
        <v>0</v>
      </c>
      <c r="BE119" s="50">
        <v>0</v>
      </c>
      <c r="BF119" s="49">
        <v>0</v>
      </c>
      <c r="BG119" s="50">
        <v>0</v>
      </c>
      <c r="BH119" s="49">
        <v>92</v>
      </c>
      <c r="BI119" s="50">
        <v>100</v>
      </c>
      <c r="BJ119" s="49">
        <v>92</v>
      </c>
      <c r="BK119" s="49" t="s">
        <v>5512</v>
      </c>
      <c r="BL119" s="49" t="s">
        <v>5512</v>
      </c>
      <c r="BM119" s="49" t="s">
        <v>5524</v>
      </c>
      <c r="BN119" s="49" t="s">
        <v>5524</v>
      </c>
      <c r="BO119" s="49" t="s">
        <v>712</v>
      </c>
      <c r="BP119" s="49" t="s">
        <v>712</v>
      </c>
      <c r="BQ119" s="123" t="s">
        <v>5586</v>
      </c>
      <c r="BR119" s="123" t="s">
        <v>5666</v>
      </c>
      <c r="BS119" s="123" t="s">
        <v>5738</v>
      </c>
      <c r="BT119" s="123" t="s">
        <v>5738</v>
      </c>
      <c r="BU119" s="2"/>
      <c r="BV119" s="3"/>
      <c r="BW119" s="3"/>
      <c r="BX119" s="3"/>
      <c r="BY119" s="3"/>
    </row>
    <row r="120" spans="1:77" ht="15">
      <c r="A120" s="65" t="s">
        <v>434</v>
      </c>
      <c r="B120" s="66"/>
      <c r="C120" s="66" t="s">
        <v>64</v>
      </c>
      <c r="D120" s="67">
        <v>775.9685583243923</v>
      </c>
      <c r="E120" s="69"/>
      <c r="F120" s="111" t="str">
        <f>HYPERLINK("https://pbs.twimg.com/profile_images/849162431653974016/d0ZTyO4m_normal.jpg")</f>
        <v>https://pbs.twimg.com/profile_images/849162431653974016/d0ZTyO4m_normal.jpg</v>
      </c>
      <c r="G120" s="66"/>
      <c r="H120" s="70" t="s">
        <v>434</v>
      </c>
      <c r="I120" s="71" t="s">
        <v>5818</v>
      </c>
      <c r="J120" s="71" t="s">
        <v>75</v>
      </c>
      <c r="K120" s="70" t="s">
        <v>2417</v>
      </c>
      <c r="L120" s="74">
        <v>1905.3809523809523</v>
      </c>
      <c r="M120" s="75">
        <v>1201.1793212890625</v>
      </c>
      <c r="N120" s="75">
        <v>6491.8623046875</v>
      </c>
      <c r="O120" s="76"/>
      <c r="P120" s="77"/>
      <c r="Q120" s="77"/>
      <c r="R120" s="104"/>
      <c r="S120" s="49">
        <v>4</v>
      </c>
      <c r="T120" s="49">
        <v>0</v>
      </c>
      <c r="U120" s="50">
        <v>737.488496</v>
      </c>
      <c r="V120" s="50">
        <v>0.001099</v>
      </c>
      <c r="W120" s="50">
        <v>0.008462</v>
      </c>
      <c r="X120" s="50">
        <v>0.972743</v>
      </c>
      <c r="Y120" s="50">
        <v>0.25</v>
      </c>
      <c r="Z120" s="50">
        <v>0</v>
      </c>
      <c r="AA120" s="72">
        <v>120</v>
      </c>
      <c r="AB120" s="72"/>
      <c r="AC120" s="73"/>
      <c r="AD120" s="89" t="s">
        <v>1592</v>
      </c>
      <c r="AE120" s="102" t="s">
        <v>1398</v>
      </c>
      <c r="AF120" s="89">
        <v>2403</v>
      </c>
      <c r="AG120" s="89">
        <v>10550</v>
      </c>
      <c r="AH120" s="89">
        <v>3421</v>
      </c>
      <c r="AI120" s="89">
        <v>4832</v>
      </c>
      <c r="AJ120" s="89"/>
      <c r="AK120" s="89" t="s">
        <v>2063</v>
      </c>
      <c r="AL120" s="89" t="s">
        <v>2251</v>
      </c>
      <c r="AM120" s="95" t="str">
        <f>HYPERLINK("https://t.co/ATv8bu1VPn")</f>
        <v>https://t.co/ATv8bu1VPn</v>
      </c>
      <c r="AN120" s="89"/>
      <c r="AO120" s="92">
        <v>40146.558333333334</v>
      </c>
      <c r="AP120" s="95" t="str">
        <f>HYPERLINK("https://pbs.twimg.com/profile_banners/93399013/1599563551")</f>
        <v>https://pbs.twimg.com/profile_banners/93399013/1599563551</v>
      </c>
      <c r="AQ120" s="89" t="b">
        <v>1</v>
      </c>
      <c r="AR120" s="89" t="b">
        <v>0</v>
      </c>
      <c r="AS120" s="89" t="b">
        <v>1</v>
      </c>
      <c r="AT120" s="89"/>
      <c r="AU120" s="89">
        <v>77</v>
      </c>
      <c r="AV120" s="95" t="str">
        <f>HYPERLINK("https://abs.twimg.com/images/themes/theme1/bg.png")</f>
        <v>https://abs.twimg.com/images/themes/theme1/bg.png</v>
      </c>
      <c r="AW120" s="89" t="b">
        <v>1</v>
      </c>
      <c r="AX120" s="89" t="s">
        <v>2300</v>
      </c>
      <c r="AY120" s="95" t="str">
        <f>HYPERLINK("https://twitter.com/suviturtiainen")</f>
        <v>https://twitter.com/suviturtiainen</v>
      </c>
      <c r="AZ120" s="89" t="s">
        <v>65</v>
      </c>
      <c r="BA120" s="89"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306</v>
      </c>
      <c r="B121" s="66"/>
      <c r="C121" s="66" t="s">
        <v>46</v>
      </c>
      <c r="D121" s="67">
        <v>10</v>
      </c>
      <c r="E121" s="69"/>
      <c r="F121" s="111" t="str">
        <f>HYPERLINK("https://pbs.twimg.com/profile_images/453084718129348608/Wv5NC-39_normal.jpeg")</f>
        <v>https://pbs.twimg.com/profile_images/453084718129348608/Wv5NC-39_normal.jpeg</v>
      </c>
      <c r="G121" s="66"/>
      <c r="H121" s="70" t="s">
        <v>306</v>
      </c>
      <c r="I121" s="71" t="s">
        <v>5821</v>
      </c>
      <c r="J121" s="71" t="s">
        <v>73</v>
      </c>
      <c r="K121" s="70" t="s">
        <v>2418</v>
      </c>
      <c r="L121" s="74">
        <v>477.0952380952381</v>
      </c>
      <c r="M121" s="75">
        <v>1685.01318359375</v>
      </c>
      <c r="N121" s="75">
        <v>2212.999755859375</v>
      </c>
      <c r="O121" s="76"/>
      <c r="P121" s="77"/>
      <c r="Q121" s="77"/>
      <c r="R121" s="104"/>
      <c r="S121" s="49">
        <v>1</v>
      </c>
      <c r="T121" s="49">
        <v>4</v>
      </c>
      <c r="U121" s="50">
        <v>4490.817824</v>
      </c>
      <c r="V121" s="50">
        <v>0.001071</v>
      </c>
      <c r="W121" s="50">
        <v>0.005607</v>
      </c>
      <c r="X121" s="50">
        <v>1.114145</v>
      </c>
      <c r="Y121" s="50">
        <v>0.15</v>
      </c>
      <c r="Z121" s="50">
        <v>0</v>
      </c>
      <c r="AA121" s="72">
        <v>121</v>
      </c>
      <c r="AB121" s="72"/>
      <c r="AC121" s="73"/>
      <c r="AD121" s="89" t="s">
        <v>1593</v>
      </c>
      <c r="AE121" s="102" t="s">
        <v>1847</v>
      </c>
      <c r="AF121" s="89">
        <v>4999</v>
      </c>
      <c r="AG121" s="89">
        <v>1680</v>
      </c>
      <c r="AH121" s="89">
        <v>54509</v>
      </c>
      <c r="AI121" s="89">
        <v>37711</v>
      </c>
      <c r="AJ121" s="89"/>
      <c r="AK121" s="89" t="s">
        <v>2064</v>
      </c>
      <c r="AL121" s="89"/>
      <c r="AM121" s="89"/>
      <c r="AN121" s="89"/>
      <c r="AO121" s="92">
        <v>40002.48813657407</v>
      </c>
      <c r="AP121" s="95" t="str">
        <f>HYPERLINK("https://pbs.twimg.com/profile_banners/54871191/1396858133")</f>
        <v>https://pbs.twimg.com/profile_banners/54871191/1396858133</v>
      </c>
      <c r="AQ121" s="89" t="b">
        <v>0</v>
      </c>
      <c r="AR121" s="89" t="b">
        <v>0</v>
      </c>
      <c r="AS121" s="89" t="b">
        <v>0</v>
      </c>
      <c r="AT121" s="89"/>
      <c r="AU121" s="89">
        <v>43</v>
      </c>
      <c r="AV121" s="95" t="str">
        <f>HYPERLINK("https://abs.twimg.com/images/themes/theme11/bg.gif")</f>
        <v>https://abs.twimg.com/images/themes/theme11/bg.gif</v>
      </c>
      <c r="AW121" s="89" t="b">
        <v>0</v>
      </c>
      <c r="AX121" s="89" t="s">
        <v>2300</v>
      </c>
      <c r="AY121" s="95" t="str">
        <f>HYPERLINK("https://twitter.com/quuquu")</f>
        <v>https://twitter.com/quuquu</v>
      </c>
      <c r="AZ121" s="89" t="s">
        <v>66</v>
      </c>
      <c r="BA121" s="89" t="str">
        <f>REPLACE(INDEX(GroupVertices[Group],MATCH(Vertices[[#This Row],[Vertex]],GroupVertices[Vertex],0)),1,1,"")</f>
        <v>2</v>
      </c>
      <c r="BB121" s="49">
        <v>0</v>
      </c>
      <c r="BC121" s="50">
        <v>0</v>
      </c>
      <c r="BD121" s="49">
        <v>0</v>
      </c>
      <c r="BE121" s="50">
        <v>0</v>
      </c>
      <c r="BF121" s="49">
        <v>0</v>
      </c>
      <c r="BG121" s="50">
        <v>0</v>
      </c>
      <c r="BH121" s="49">
        <v>42</v>
      </c>
      <c r="BI121" s="50">
        <v>100</v>
      </c>
      <c r="BJ121" s="49">
        <v>42</v>
      </c>
      <c r="BK121" s="49" t="s">
        <v>5191</v>
      </c>
      <c r="BL121" s="49" t="s">
        <v>5191</v>
      </c>
      <c r="BM121" s="49" t="s">
        <v>691</v>
      </c>
      <c r="BN121" s="49" t="s">
        <v>691</v>
      </c>
      <c r="BO121" s="49"/>
      <c r="BP121" s="49"/>
      <c r="BQ121" s="123" t="s">
        <v>5587</v>
      </c>
      <c r="BR121" s="123" t="s">
        <v>5667</v>
      </c>
      <c r="BS121" s="123" t="s">
        <v>5739</v>
      </c>
      <c r="BT121" s="123" t="s">
        <v>5807</v>
      </c>
      <c r="BU121" s="2"/>
      <c r="BV121" s="3"/>
      <c r="BW121" s="3"/>
      <c r="BX121" s="3"/>
      <c r="BY121" s="3"/>
    </row>
    <row r="122" spans="1:77" ht="15">
      <c r="A122" s="65" t="s">
        <v>275</v>
      </c>
      <c r="B122" s="66"/>
      <c r="C122" s="66" t="s">
        <v>46</v>
      </c>
      <c r="D122" s="67"/>
      <c r="E122" s="69"/>
      <c r="F122" s="111" t="str">
        <f>HYPERLINK("https://pbs.twimg.com/profile_images/1165166928966668293/JLUS-M4Z_normal.jpg")</f>
        <v>https://pbs.twimg.com/profile_images/1165166928966668293/JLUS-M4Z_normal.jpg</v>
      </c>
      <c r="G122" s="66"/>
      <c r="H122" s="70" t="s">
        <v>275</v>
      </c>
      <c r="I122" s="71" t="s">
        <v>5822</v>
      </c>
      <c r="J122" s="71" t="s">
        <v>73</v>
      </c>
      <c r="K122" s="70" t="s">
        <v>2419</v>
      </c>
      <c r="L122" s="74">
        <v>1</v>
      </c>
      <c r="M122" s="75">
        <v>6475.3505859375</v>
      </c>
      <c r="N122" s="75">
        <v>9764.8310546875</v>
      </c>
      <c r="O122" s="76"/>
      <c r="P122" s="77"/>
      <c r="Q122" s="77"/>
      <c r="R122" s="104"/>
      <c r="S122" s="49">
        <v>0</v>
      </c>
      <c r="T122" s="49">
        <v>2</v>
      </c>
      <c r="U122" s="50">
        <v>0</v>
      </c>
      <c r="V122" s="50">
        <v>0.000894</v>
      </c>
      <c r="W122" s="50">
        <v>0.001914</v>
      </c>
      <c r="X122" s="50">
        <v>0.605386</v>
      </c>
      <c r="Y122" s="50">
        <v>0.5</v>
      </c>
      <c r="Z122" s="50">
        <v>0</v>
      </c>
      <c r="AA122" s="72">
        <v>122</v>
      </c>
      <c r="AB122" s="72"/>
      <c r="AC122" s="73"/>
      <c r="AD122" s="89" t="s">
        <v>1594</v>
      </c>
      <c r="AE122" s="102" t="s">
        <v>1848</v>
      </c>
      <c r="AF122" s="89">
        <v>108</v>
      </c>
      <c r="AG122" s="89">
        <v>58</v>
      </c>
      <c r="AH122" s="89">
        <v>1461</v>
      </c>
      <c r="AI122" s="89">
        <v>1641</v>
      </c>
      <c r="AJ122" s="89"/>
      <c r="AK122" s="89"/>
      <c r="AL122" s="89"/>
      <c r="AM122" s="89"/>
      <c r="AN122" s="89"/>
      <c r="AO122" s="92">
        <v>43395.700532407405</v>
      </c>
      <c r="AP122" s="95" t="str">
        <f>HYPERLINK("https://pbs.twimg.com/profile_banners/1054414270572703746/1566632681")</f>
        <v>https://pbs.twimg.com/profile_banners/1054414270572703746/1566632681</v>
      </c>
      <c r="AQ122" s="89" t="b">
        <v>1</v>
      </c>
      <c r="AR122" s="89" t="b">
        <v>0</v>
      </c>
      <c r="AS122" s="89" t="b">
        <v>0</v>
      </c>
      <c r="AT122" s="89"/>
      <c r="AU122" s="89">
        <v>2</v>
      </c>
      <c r="AV122" s="89"/>
      <c r="AW122" s="89" t="b">
        <v>0</v>
      </c>
      <c r="AX122" s="89" t="s">
        <v>2300</v>
      </c>
      <c r="AY122" s="95" t="str">
        <f>HYPERLINK("https://twitter.com/hilmisdilmis")</f>
        <v>https://twitter.com/hilmisdilmis</v>
      </c>
      <c r="AZ122" s="89" t="s">
        <v>66</v>
      </c>
      <c r="BA122" s="89" t="str">
        <f>REPLACE(INDEX(GroupVertices[Group],MATCH(Vertices[[#This Row],[Vertex]],GroupVertices[Vertex],0)),1,1,"")</f>
        <v>5</v>
      </c>
      <c r="BB122" s="49">
        <v>0</v>
      </c>
      <c r="BC122" s="50">
        <v>0</v>
      </c>
      <c r="BD122" s="49">
        <v>0</v>
      </c>
      <c r="BE122" s="50">
        <v>0</v>
      </c>
      <c r="BF122" s="49">
        <v>0</v>
      </c>
      <c r="BG122" s="50">
        <v>0</v>
      </c>
      <c r="BH122" s="49">
        <v>29</v>
      </c>
      <c r="BI122" s="50">
        <v>100</v>
      </c>
      <c r="BJ122" s="49">
        <v>29</v>
      </c>
      <c r="BK122" s="49"/>
      <c r="BL122" s="49"/>
      <c r="BM122" s="49"/>
      <c r="BN122" s="49"/>
      <c r="BO122" s="49" t="s">
        <v>226</v>
      </c>
      <c r="BP122" s="49" t="s">
        <v>226</v>
      </c>
      <c r="BQ122" s="123" t="s">
        <v>5585</v>
      </c>
      <c r="BR122" s="123" t="s">
        <v>5585</v>
      </c>
      <c r="BS122" s="123" t="s">
        <v>5737</v>
      </c>
      <c r="BT122" s="123" t="s">
        <v>5737</v>
      </c>
      <c r="BU122" s="2"/>
      <c r="BV122" s="3"/>
      <c r="BW122" s="3"/>
      <c r="BX122" s="3"/>
      <c r="BY122" s="3"/>
    </row>
    <row r="123" spans="1:77" ht="15">
      <c r="A123" s="65" t="s">
        <v>276</v>
      </c>
      <c r="B123" s="66"/>
      <c r="C123" s="66" t="s">
        <v>46</v>
      </c>
      <c r="D123" s="67"/>
      <c r="E123" s="69"/>
      <c r="F123" s="111" t="str">
        <f>HYPERLINK("https://abs.twimg.com/sticky/default_profile_images/default_profile_normal.png")</f>
        <v>https://abs.twimg.com/sticky/default_profile_images/default_profile_normal.png</v>
      </c>
      <c r="G123" s="66"/>
      <c r="H123" s="70" t="s">
        <v>276</v>
      </c>
      <c r="I123" s="71" t="s">
        <v>5822</v>
      </c>
      <c r="J123" s="71" t="s">
        <v>73</v>
      </c>
      <c r="K123" s="70" t="s">
        <v>2420</v>
      </c>
      <c r="L123" s="74">
        <v>1</v>
      </c>
      <c r="M123" s="75">
        <v>6333.853515625</v>
      </c>
      <c r="N123" s="75">
        <v>9410.7724609375</v>
      </c>
      <c r="O123" s="76"/>
      <c r="P123" s="77"/>
      <c r="Q123" s="77"/>
      <c r="R123" s="104"/>
      <c r="S123" s="49">
        <v>0</v>
      </c>
      <c r="T123" s="49">
        <v>2</v>
      </c>
      <c r="U123" s="50">
        <v>0</v>
      </c>
      <c r="V123" s="50">
        <v>0.000894</v>
      </c>
      <c r="W123" s="50">
        <v>0.001914</v>
      </c>
      <c r="X123" s="50">
        <v>0.605386</v>
      </c>
      <c r="Y123" s="50">
        <v>0.5</v>
      </c>
      <c r="Z123" s="50">
        <v>0</v>
      </c>
      <c r="AA123" s="72">
        <v>123</v>
      </c>
      <c r="AB123" s="72"/>
      <c r="AC123" s="73"/>
      <c r="AD123" s="89" t="s">
        <v>1595</v>
      </c>
      <c r="AE123" s="102" t="s">
        <v>1849</v>
      </c>
      <c r="AF123" s="89">
        <v>386</v>
      </c>
      <c r="AG123" s="89">
        <v>226</v>
      </c>
      <c r="AH123" s="89">
        <v>2092</v>
      </c>
      <c r="AI123" s="89">
        <v>47482</v>
      </c>
      <c r="AJ123" s="89"/>
      <c r="AK123" s="89"/>
      <c r="AL123" s="89"/>
      <c r="AM123" s="89"/>
      <c r="AN123" s="89"/>
      <c r="AO123" s="92">
        <v>43607.69598379629</v>
      </c>
      <c r="AP123" s="89"/>
      <c r="AQ123" s="89" t="b">
        <v>1</v>
      </c>
      <c r="AR123" s="89" t="b">
        <v>1</v>
      </c>
      <c r="AS123" s="89" t="b">
        <v>0</v>
      </c>
      <c r="AT123" s="89"/>
      <c r="AU123" s="89">
        <v>1</v>
      </c>
      <c r="AV123" s="89"/>
      <c r="AW123" s="89" t="b">
        <v>0</v>
      </c>
      <c r="AX123" s="89" t="s">
        <v>2300</v>
      </c>
      <c r="AY123" s="95" t="str">
        <f>HYPERLINK("https://twitter.com/teris69400629")</f>
        <v>https://twitter.com/teris69400629</v>
      </c>
      <c r="AZ123" s="89" t="s">
        <v>66</v>
      </c>
      <c r="BA123" s="89" t="str">
        <f>REPLACE(INDEX(GroupVertices[Group],MATCH(Vertices[[#This Row],[Vertex]],GroupVertices[Vertex],0)),1,1,"")</f>
        <v>5</v>
      </c>
      <c r="BB123" s="49">
        <v>0</v>
      </c>
      <c r="BC123" s="50">
        <v>0</v>
      </c>
      <c r="BD123" s="49">
        <v>0</v>
      </c>
      <c r="BE123" s="50">
        <v>0</v>
      </c>
      <c r="BF123" s="49">
        <v>0</v>
      </c>
      <c r="BG123" s="50">
        <v>0</v>
      </c>
      <c r="BH123" s="49">
        <v>29</v>
      </c>
      <c r="BI123" s="50">
        <v>100</v>
      </c>
      <c r="BJ123" s="49">
        <v>29</v>
      </c>
      <c r="BK123" s="49"/>
      <c r="BL123" s="49"/>
      <c r="BM123" s="49"/>
      <c r="BN123" s="49"/>
      <c r="BO123" s="49" t="s">
        <v>226</v>
      </c>
      <c r="BP123" s="49" t="s">
        <v>226</v>
      </c>
      <c r="BQ123" s="123" t="s">
        <v>5585</v>
      </c>
      <c r="BR123" s="123" t="s">
        <v>5585</v>
      </c>
      <c r="BS123" s="123" t="s">
        <v>5737</v>
      </c>
      <c r="BT123" s="123" t="s">
        <v>5737</v>
      </c>
      <c r="BU123" s="2"/>
      <c r="BV123" s="3"/>
      <c r="BW123" s="3"/>
      <c r="BX123" s="3"/>
      <c r="BY123" s="3"/>
    </row>
    <row r="124" spans="1:77" ht="15">
      <c r="A124" s="65" t="s">
        <v>277</v>
      </c>
      <c r="B124" s="66"/>
      <c r="C124" s="66" t="s">
        <v>46</v>
      </c>
      <c r="D124" s="67"/>
      <c r="E124" s="69"/>
      <c r="F124" s="111" t="str">
        <f>HYPERLINK("https://abs.twimg.com/sticky/default_profile_images/default_profile_normal.png")</f>
        <v>https://abs.twimg.com/sticky/default_profile_images/default_profile_normal.png</v>
      </c>
      <c r="G124" s="66"/>
      <c r="H124" s="70" t="s">
        <v>277</v>
      </c>
      <c r="I124" s="71" t="s">
        <v>5822</v>
      </c>
      <c r="J124" s="71" t="s">
        <v>73</v>
      </c>
      <c r="K124" s="70" t="s">
        <v>2421</v>
      </c>
      <c r="L124" s="74">
        <v>1</v>
      </c>
      <c r="M124" s="75">
        <v>6594.2744140625</v>
      </c>
      <c r="N124" s="75">
        <v>9671.1455078125</v>
      </c>
      <c r="O124" s="76"/>
      <c r="P124" s="77"/>
      <c r="Q124" s="77"/>
      <c r="R124" s="104"/>
      <c r="S124" s="49">
        <v>0</v>
      </c>
      <c r="T124" s="49">
        <v>2</v>
      </c>
      <c r="U124" s="50">
        <v>0</v>
      </c>
      <c r="V124" s="50">
        <v>0.000894</v>
      </c>
      <c r="W124" s="50">
        <v>0.001914</v>
      </c>
      <c r="X124" s="50">
        <v>0.605386</v>
      </c>
      <c r="Y124" s="50">
        <v>0.5</v>
      </c>
      <c r="Z124" s="50">
        <v>0</v>
      </c>
      <c r="AA124" s="72">
        <v>124</v>
      </c>
      <c r="AB124" s="72"/>
      <c r="AC124" s="73"/>
      <c r="AD124" s="89" t="s">
        <v>1596</v>
      </c>
      <c r="AE124" s="102" t="s">
        <v>1850</v>
      </c>
      <c r="AF124" s="89">
        <v>53</v>
      </c>
      <c r="AG124" s="89">
        <v>9</v>
      </c>
      <c r="AH124" s="89">
        <v>866</v>
      </c>
      <c r="AI124" s="89">
        <v>4895</v>
      </c>
      <c r="AJ124" s="89"/>
      <c r="AK124" s="89" t="s">
        <v>2065</v>
      </c>
      <c r="AL124" s="89"/>
      <c r="AM124" s="89"/>
      <c r="AN124" s="89"/>
      <c r="AO124" s="92">
        <v>44208.23590277778</v>
      </c>
      <c r="AP124" s="89"/>
      <c r="AQ124" s="89" t="b">
        <v>1</v>
      </c>
      <c r="AR124" s="89" t="b">
        <v>1</v>
      </c>
      <c r="AS124" s="89" t="b">
        <v>0</v>
      </c>
      <c r="AT124" s="89"/>
      <c r="AU124" s="89">
        <v>0</v>
      </c>
      <c r="AV124" s="89"/>
      <c r="AW124" s="89" t="b">
        <v>0</v>
      </c>
      <c r="AX124" s="89" t="s">
        <v>2300</v>
      </c>
      <c r="AY124" s="95" t="str">
        <f>HYPERLINK("https://twitter.com/maalaistollo")</f>
        <v>https://twitter.com/maalaistollo</v>
      </c>
      <c r="AZ124" s="89" t="s">
        <v>66</v>
      </c>
      <c r="BA124" s="89" t="str">
        <f>REPLACE(INDEX(GroupVertices[Group],MATCH(Vertices[[#This Row],[Vertex]],GroupVertices[Vertex],0)),1,1,"")</f>
        <v>5</v>
      </c>
      <c r="BB124" s="49">
        <v>0</v>
      </c>
      <c r="BC124" s="50">
        <v>0</v>
      </c>
      <c r="BD124" s="49">
        <v>0</v>
      </c>
      <c r="BE124" s="50">
        <v>0</v>
      </c>
      <c r="BF124" s="49">
        <v>0</v>
      </c>
      <c r="BG124" s="50">
        <v>0</v>
      </c>
      <c r="BH124" s="49">
        <v>29</v>
      </c>
      <c r="BI124" s="50">
        <v>100</v>
      </c>
      <c r="BJ124" s="49">
        <v>29</v>
      </c>
      <c r="BK124" s="49"/>
      <c r="BL124" s="49"/>
      <c r="BM124" s="49"/>
      <c r="BN124" s="49"/>
      <c r="BO124" s="49" t="s">
        <v>226</v>
      </c>
      <c r="BP124" s="49" t="s">
        <v>226</v>
      </c>
      <c r="BQ124" s="123" t="s">
        <v>5585</v>
      </c>
      <c r="BR124" s="123" t="s">
        <v>5585</v>
      </c>
      <c r="BS124" s="123" t="s">
        <v>5737</v>
      </c>
      <c r="BT124" s="123" t="s">
        <v>5737</v>
      </c>
      <c r="BU124" s="2"/>
      <c r="BV124" s="3"/>
      <c r="BW124" s="3"/>
      <c r="BX124" s="3"/>
      <c r="BY124" s="3"/>
    </row>
    <row r="125" spans="1:77" ht="15">
      <c r="A125" s="65" t="s">
        <v>278</v>
      </c>
      <c r="B125" s="66"/>
      <c r="C125" s="66" t="s">
        <v>46</v>
      </c>
      <c r="D125" s="67"/>
      <c r="E125" s="69"/>
      <c r="F125" s="111" t="str">
        <f>HYPERLINK("https://pbs.twimg.com/profile_images/1198725504657956866/7hEEi-6f_normal.jpg")</f>
        <v>https://pbs.twimg.com/profile_images/1198725504657956866/7hEEi-6f_normal.jpg</v>
      </c>
      <c r="G125" s="66"/>
      <c r="H125" s="70" t="s">
        <v>278</v>
      </c>
      <c r="I125" s="71" t="s">
        <v>5822</v>
      </c>
      <c r="J125" s="71" t="s">
        <v>73</v>
      </c>
      <c r="K125" s="70" t="s">
        <v>2422</v>
      </c>
      <c r="L125" s="74">
        <v>1</v>
      </c>
      <c r="M125" s="75">
        <v>6345.84423828125</v>
      </c>
      <c r="N125" s="75">
        <v>9756.4658203125</v>
      </c>
      <c r="O125" s="76"/>
      <c r="P125" s="77"/>
      <c r="Q125" s="77"/>
      <c r="R125" s="104"/>
      <c r="S125" s="49">
        <v>0</v>
      </c>
      <c r="T125" s="49">
        <v>2</v>
      </c>
      <c r="U125" s="50">
        <v>0</v>
      </c>
      <c r="V125" s="50">
        <v>0.000894</v>
      </c>
      <c r="W125" s="50">
        <v>0.001914</v>
      </c>
      <c r="X125" s="50">
        <v>0.605386</v>
      </c>
      <c r="Y125" s="50">
        <v>0.5</v>
      </c>
      <c r="Z125" s="50">
        <v>0</v>
      </c>
      <c r="AA125" s="72">
        <v>125</v>
      </c>
      <c r="AB125" s="72"/>
      <c r="AC125" s="73"/>
      <c r="AD125" s="89" t="s">
        <v>1597</v>
      </c>
      <c r="AE125" s="102" t="s">
        <v>1851</v>
      </c>
      <c r="AF125" s="89">
        <v>1002</v>
      </c>
      <c r="AG125" s="89">
        <v>173</v>
      </c>
      <c r="AH125" s="89">
        <v>2698</v>
      </c>
      <c r="AI125" s="89">
        <v>15459</v>
      </c>
      <c r="AJ125" s="89"/>
      <c r="AK125" s="89" t="s">
        <v>2066</v>
      </c>
      <c r="AL125" s="89"/>
      <c r="AM125" s="89"/>
      <c r="AN125" s="89"/>
      <c r="AO125" s="92">
        <v>43629.49773148148</v>
      </c>
      <c r="AP125" s="95" t="str">
        <f>HYPERLINK("https://pbs.twimg.com/profile_banners/1139139536213221376/1622296235")</f>
        <v>https://pbs.twimg.com/profile_banners/1139139536213221376/1622296235</v>
      </c>
      <c r="AQ125" s="89" t="b">
        <v>1</v>
      </c>
      <c r="AR125" s="89" t="b">
        <v>0</v>
      </c>
      <c r="AS125" s="89" t="b">
        <v>0</v>
      </c>
      <c r="AT125" s="89"/>
      <c r="AU125" s="89">
        <v>0</v>
      </c>
      <c r="AV125" s="89"/>
      <c r="AW125" s="89" t="b">
        <v>0</v>
      </c>
      <c r="AX125" s="89" t="s">
        <v>2300</v>
      </c>
      <c r="AY125" s="95" t="str">
        <f>HYPERLINK("https://twitter.com/astfroglogy")</f>
        <v>https://twitter.com/astfroglogy</v>
      </c>
      <c r="AZ125" s="89" t="s">
        <v>66</v>
      </c>
      <c r="BA125" s="89" t="str">
        <f>REPLACE(INDEX(GroupVertices[Group],MATCH(Vertices[[#This Row],[Vertex]],GroupVertices[Vertex],0)),1,1,"")</f>
        <v>5</v>
      </c>
      <c r="BB125" s="49">
        <v>0</v>
      </c>
      <c r="BC125" s="50">
        <v>0</v>
      </c>
      <c r="BD125" s="49">
        <v>0</v>
      </c>
      <c r="BE125" s="50">
        <v>0</v>
      </c>
      <c r="BF125" s="49">
        <v>0</v>
      </c>
      <c r="BG125" s="50">
        <v>0</v>
      </c>
      <c r="BH125" s="49">
        <v>29</v>
      </c>
      <c r="BI125" s="50">
        <v>100</v>
      </c>
      <c r="BJ125" s="49">
        <v>29</v>
      </c>
      <c r="BK125" s="49"/>
      <c r="BL125" s="49"/>
      <c r="BM125" s="49"/>
      <c r="BN125" s="49"/>
      <c r="BO125" s="49" t="s">
        <v>226</v>
      </c>
      <c r="BP125" s="49" t="s">
        <v>226</v>
      </c>
      <c r="BQ125" s="123" t="s">
        <v>5585</v>
      </c>
      <c r="BR125" s="123" t="s">
        <v>5585</v>
      </c>
      <c r="BS125" s="123" t="s">
        <v>5737</v>
      </c>
      <c r="BT125" s="123" t="s">
        <v>5737</v>
      </c>
      <c r="BU125" s="2"/>
      <c r="BV125" s="3"/>
      <c r="BW125" s="3"/>
      <c r="BX125" s="3"/>
      <c r="BY125" s="3"/>
    </row>
    <row r="126" spans="1:77" ht="15">
      <c r="A126" s="65" t="s">
        <v>279</v>
      </c>
      <c r="B126" s="66"/>
      <c r="C126" s="66" t="s">
        <v>46</v>
      </c>
      <c r="D126" s="67"/>
      <c r="E126" s="69"/>
      <c r="F126" s="111" t="str">
        <f>HYPERLINK("https://pbs.twimg.com/profile_images/1460536580209266694/prOdfN_D_normal.jpg")</f>
        <v>https://pbs.twimg.com/profile_images/1460536580209266694/prOdfN_D_normal.jpg</v>
      </c>
      <c r="G126" s="66"/>
      <c r="H126" s="70" t="s">
        <v>279</v>
      </c>
      <c r="I126" s="71" t="s">
        <v>5822</v>
      </c>
      <c r="J126" s="71" t="s">
        <v>73</v>
      </c>
      <c r="K126" s="70" t="s">
        <v>2423</v>
      </c>
      <c r="L126" s="74">
        <v>1</v>
      </c>
      <c r="M126" s="75">
        <v>6701.18603515625</v>
      </c>
      <c r="N126" s="75">
        <v>9026.57421875</v>
      </c>
      <c r="O126" s="76"/>
      <c r="P126" s="77"/>
      <c r="Q126" s="77"/>
      <c r="R126" s="104"/>
      <c r="S126" s="49">
        <v>0</v>
      </c>
      <c r="T126" s="49">
        <v>2</v>
      </c>
      <c r="U126" s="50">
        <v>0</v>
      </c>
      <c r="V126" s="50">
        <v>0.000894</v>
      </c>
      <c r="W126" s="50">
        <v>0.001914</v>
      </c>
      <c r="X126" s="50">
        <v>0.605386</v>
      </c>
      <c r="Y126" s="50">
        <v>0.5</v>
      </c>
      <c r="Z126" s="50">
        <v>0</v>
      </c>
      <c r="AA126" s="72">
        <v>126</v>
      </c>
      <c r="AB126" s="72"/>
      <c r="AC126" s="73"/>
      <c r="AD126" s="89" t="s">
        <v>1598</v>
      </c>
      <c r="AE126" s="102" t="s">
        <v>1852</v>
      </c>
      <c r="AF126" s="89">
        <v>208</v>
      </c>
      <c r="AG126" s="89">
        <v>74</v>
      </c>
      <c r="AH126" s="89">
        <v>1694</v>
      </c>
      <c r="AI126" s="89">
        <v>3317</v>
      </c>
      <c r="AJ126" s="89"/>
      <c r="AK126" s="89" t="s">
        <v>2067</v>
      </c>
      <c r="AL126" s="89"/>
      <c r="AM126" s="89"/>
      <c r="AN126" s="89"/>
      <c r="AO126" s="92">
        <v>44290.39685185185</v>
      </c>
      <c r="AP126" s="95" t="str">
        <f>HYPERLINK("https://pbs.twimg.com/profile_banners/1378641190699032576/1637054325")</f>
        <v>https://pbs.twimg.com/profile_banners/1378641190699032576/1637054325</v>
      </c>
      <c r="AQ126" s="89" t="b">
        <v>1</v>
      </c>
      <c r="AR126" s="89" t="b">
        <v>0</v>
      </c>
      <c r="AS126" s="89" t="b">
        <v>0</v>
      </c>
      <c r="AT126" s="89"/>
      <c r="AU126" s="89">
        <v>0</v>
      </c>
      <c r="AV126" s="89"/>
      <c r="AW126" s="89" t="b">
        <v>0</v>
      </c>
      <c r="AX126" s="89" t="s">
        <v>2300</v>
      </c>
      <c r="AY126" s="95" t="str">
        <f>HYPERLINK("https://twitter.com/merilainenriina")</f>
        <v>https://twitter.com/merilainenriina</v>
      </c>
      <c r="AZ126" s="89" t="s">
        <v>66</v>
      </c>
      <c r="BA126" s="89" t="str">
        <f>REPLACE(INDEX(GroupVertices[Group],MATCH(Vertices[[#This Row],[Vertex]],GroupVertices[Vertex],0)),1,1,"")</f>
        <v>5</v>
      </c>
      <c r="BB126" s="49">
        <v>0</v>
      </c>
      <c r="BC126" s="50">
        <v>0</v>
      </c>
      <c r="BD126" s="49">
        <v>0</v>
      </c>
      <c r="BE126" s="50">
        <v>0</v>
      </c>
      <c r="BF126" s="49">
        <v>0</v>
      </c>
      <c r="BG126" s="50">
        <v>0</v>
      </c>
      <c r="BH126" s="49">
        <v>29</v>
      </c>
      <c r="BI126" s="50">
        <v>100</v>
      </c>
      <c r="BJ126" s="49">
        <v>29</v>
      </c>
      <c r="BK126" s="49"/>
      <c r="BL126" s="49"/>
      <c r="BM126" s="49"/>
      <c r="BN126" s="49"/>
      <c r="BO126" s="49" t="s">
        <v>226</v>
      </c>
      <c r="BP126" s="49" t="s">
        <v>226</v>
      </c>
      <c r="BQ126" s="123" t="s">
        <v>5585</v>
      </c>
      <c r="BR126" s="123" t="s">
        <v>5585</v>
      </c>
      <c r="BS126" s="123" t="s">
        <v>5737</v>
      </c>
      <c r="BT126" s="123" t="s">
        <v>5737</v>
      </c>
      <c r="BU126" s="2"/>
      <c r="BV126" s="3"/>
      <c r="BW126" s="3"/>
      <c r="BX126" s="3"/>
      <c r="BY126" s="3"/>
    </row>
    <row r="127" spans="1:77" ht="15">
      <c r="A127" s="65" t="s">
        <v>280</v>
      </c>
      <c r="B127" s="66"/>
      <c r="C127" s="66" t="s">
        <v>46</v>
      </c>
      <c r="D127" s="67"/>
      <c r="E127" s="69"/>
      <c r="F127" s="111" t="str">
        <f>HYPERLINK("https://pbs.twimg.com/profile_images/1237813266212102145/EJtqDetJ_normal.jpg")</f>
        <v>https://pbs.twimg.com/profile_images/1237813266212102145/EJtqDetJ_normal.jpg</v>
      </c>
      <c r="G127" s="66"/>
      <c r="H127" s="70" t="s">
        <v>280</v>
      </c>
      <c r="I127" s="71" t="s">
        <v>5822</v>
      </c>
      <c r="J127" s="71" t="s">
        <v>73</v>
      </c>
      <c r="K127" s="70" t="s">
        <v>2424</v>
      </c>
      <c r="L127" s="74">
        <v>1</v>
      </c>
      <c r="M127" s="75">
        <v>6254.24951171875</v>
      </c>
      <c r="N127" s="75">
        <v>8951.3837890625</v>
      </c>
      <c r="O127" s="76"/>
      <c r="P127" s="77"/>
      <c r="Q127" s="77"/>
      <c r="R127" s="104"/>
      <c r="S127" s="49">
        <v>0</v>
      </c>
      <c r="T127" s="49">
        <v>2</v>
      </c>
      <c r="U127" s="50">
        <v>0</v>
      </c>
      <c r="V127" s="50">
        <v>0.000894</v>
      </c>
      <c r="W127" s="50">
        <v>0.001914</v>
      </c>
      <c r="X127" s="50">
        <v>0.605386</v>
      </c>
      <c r="Y127" s="50">
        <v>0.5</v>
      </c>
      <c r="Z127" s="50">
        <v>0</v>
      </c>
      <c r="AA127" s="72">
        <v>127</v>
      </c>
      <c r="AB127" s="72"/>
      <c r="AC127" s="73"/>
      <c r="AD127" s="89" t="s">
        <v>1599</v>
      </c>
      <c r="AE127" s="102" t="s">
        <v>1853</v>
      </c>
      <c r="AF127" s="89">
        <v>242</v>
      </c>
      <c r="AG127" s="89">
        <v>79</v>
      </c>
      <c r="AH127" s="89">
        <v>5687</v>
      </c>
      <c r="AI127" s="89">
        <v>5759</v>
      </c>
      <c r="AJ127" s="89"/>
      <c r="AK127" s="89" t="s">
        <v>2068</v>
      </c>
      <c r="AL127" s="89"/>
      <c r="AM127" s="95" t="str">
        <f>HYPERLINK("https://t.co/bkeCn2CR10")</f>
        <v>https://t.co/bkeCn2CR10</v>
      </c>
      <c r="AN127" s="89"/>
      <c r="AO127" s="92">
        <v>41514.814039351855</v>
      </c>
      <c r="AP127" s="89"/>
      <c r="AQ127" s="89" t="b">
        <v>1</v>
      </c>
      <c r="AR127" s="89" t="b">
        <v>0</v>
      </c>
      <c r="AS127" s="89" t="b">
        <v>0</v>
      </c>
      <c r="AT127" s="89"/>
      <c r="AU127" s="89">
        <v>0</v>
      </c>
      <c r="AV127" s="95" t="str">
        <f>HYPERLINK("https://abs.twimg.com/images/themes/theme1/bg.png")</f>
        <v>https://abs.twimg.com/images/themes/theme1/bg.png</v>
      </c>
      <c r="AW127" s="89" t="b">
        <v>0</v>
      </c>
      <c r="AX127" s="89" t="s">
        <v>2300</v>
      </c>
      <c r="AY127" s="95" t="str">
        <f>HYPERLINK("https://twitter.com/_flashman_harry")</f>
        <v>https://twitter.com/_flashman_harry</v>
      </c>
      <c r="AZ127" s="89" t="s">
        <v>66</v>
      </c>
      <c r="BA127" s="89" t="str">
        <f>REPLACE(INDEX(GroupVertices[Group],MATCH(Vertices[[#This Row],[Vertex]],GroupVertices[Vertex],0)),1,1,"")</f>
        <v>5</v>
      </c>
      <c r="BB127" s="49">
        <v>0</v>
      </c>
      <c r="BC127" s="50">
        <v>0</v>
      </c>
      <c r="BD127" s="49">
        <v>0</v>
      </c>
      <c r="BE127" s="50">
        <v>0</v>
      </c>
      <c r="BF127" s="49">
        <v>0</v>
      </c>
      <c r="BG127" s="50">
        <v>0</v>
      </c>
      <c r="BH127" s="49">
        <v>29</v>
      </c>
      <c r="BI127" s="50">
        <v>100</v>
      </c>
      <c r="BJ127" s="49">
        <v>29</v>
      </c>
      <c r="BK127" s="49"/>
      <c r="BL127" s="49"/>
      <c r="BM127" s="49"/>
      <c r="BN127" s="49"/>
      <c r="BO127" s="49" t="s">
        <v>226</v>
      </c>
      <c r="BP127" s="49" t="s">
        <v>226</v>
      </c>
      <c r="BQ127" s="123" t="s">
        <v>5585</v>
      </c>
      <c r="BR127" s="123" t="s">
        <v>5585</v>
      </c>
      <c r="BS127" s="123" t="s">
        <v>5737</v>
      </c>
      <c r="BT127" s="123" t="s">
        <v>5737</v>
      </c>
      <c r="BU127" s="2"/>
      <c r="BV127" s="3"/>
      <c r="BW127" s="3"/>
      <c r="BX127" s="3"/>
      <c r="BY127" s="3"/>
    </row>
    <row r="128" spans="1:77" ht="15">
      <c r="A128" s="65" t="s">
        <v>281</v>
      </c>
      <c r="B128" s="66"/>
      <c r="C128" s="66" t="s">
        <v>64</v>
      </c>
      <c r="D128" s="67">
        <v>1000</v>
      </c>
      <c r="E128" s="69"/>
      <c r="F128" s="111" t="str">
        <f>HYPERLINK("https://pbs.twimg.com/profile_images/1076890640905134080/vdh2syxK_normal.jpg")</f>
        <v>https://pbs.twimg.com/profile_images/1076890640905134080/vdh2syxK_normal.jpg</v>
      </c>
      <c r="G128" s="66"/>
      <c r="H128" s="70" t="s">
        <v>281</v>
      </c>
      <c r="I128" s="71" t="s">
        <v>5818</v>
      </c>
      <c r="J128" s="71" t="s">
        <v>73</v>
      </c>
      <c r="K128" s="70" t="s">
        <v>2425</v>
      </c>
      <c r="L128" s="74">
        <v>2857.5714285714284</v>
      </c>
      <c r="M128" s="75">
        <v>1926.85107421875</v>
      </c>
      <c r="N128" s="75">
        <v>7988.26708984375</v>
      </c>
      <c r="O128" s="76"/>
      <c r="P128" s="77"/>
      <c r="Q128" s="77"/>
      <c r="R128" s="104"/>
      <c r="S128" s="49">
        <v>6</v>
      </c>
      <c r="T128" s="49">
        <v>3</v>
      </c>
      <c r="U128" s="50">
        <v>2415.690263</v>
      </c>
      <c r="V128" s="50">
        <v>0.001</v>
      </c>
      <c r="W128" s="50">
        <v>0.002321</v>
      </c>
      <c r="X128" s="50">
        <v>2.1074</v>
      </c>
      <c r="Y128" s="50">
        <v>0.08928571428571429</v>
      </c>
      <c r="Z128" s="50">
        <v>0.125</v>
      </c>
      <c r="AA128" s="72">
        <v>128</v>
      </c>
      <c r="AB128" s="72"/>
      <c r="AC128" s="73"/>
      <c r="AD128" s="89" t="s">
        <v>1600</v>
      </c>
      <c r="AE128" s="102" t="s">
        <v>1854</v>
      </c>
      <c r="AF128" s="89">
        <v>852</v>
      </c>
      <c r="AG128" s="89">
        <v>400</v>
      </c>
      <c r="AH128" s="89">
        <v>3443</v>
      </c>
      <c r="AI128" s="89">
        <v>48292</v>
      </c>
      <c r="AJ128" s="89"/>
      <c r="AK128" s="89"/>
      <c r="AL128" s="89"/>
      <c r="AM128" s="89"/>
      <c r="AN128" s="89"/>
      <c r="AO128" s="92">
        <v>43018.53467592593</v>
      </c>
      <c r="AP128" s="89"/>
      <c r="AQ128" s="89" t="b">
        <v>1</v>
      </c>
      <c r="AR128" s="89" t="b">
        <v>0</v>
      </c>
      <c r="AS128" s="89" t="b">
        <v>0</v>
      </c>
      <c r="AT128" s="89"/>
      <c r="AU128" s="89">
        <v>2</v>
      </c>
      <c r="AV128" s="89"/>
      <c r="AW128" s="89" t="b">
        <v>0</v>
      </c>
      <c r="AX128" s="89" t="s">
        <v>2300</v>
      </c>
      <c r="AY128" s="95" t="str">
        <f>HYPERLINK("https://twitter.com/benelef999")</f>
        <v>https://twitter.com/benelef999</v>
      </c>
      <c r="AZ128" s="89" t="s">
        <v>66</v>
      </c>
      <c r="BA128" s="89" t="str">
        <f>REPLACE(INDEX(GroupVertices[Group],MATCH(Vertices[[#This Row],[Vertex]],GroupVertices[Vertex],0)),1,1,"")</f>
        <v>1</v>
      </c>
      <c r="BB128" s="49">
        <v>0</v>
      </c>
      <c r="BC128" s="50">
        <v>0</v>
      </c>
      <c r="BD128" s="49">
        <v>0</v>
      </c>
      <c r="BE128" s="50">
        <v>0</v>
      </c>
      <c r="BF128" s="49">
        <v>0</v>
      </c>
      <c r="BG128" s="50">
        <v>0</v>
      </c>
      <c r="BH128" s="49">
        <v>63</v>
      </c>
      <c r="BI128" s="50">
        <v>100</v>
      </c>
      <c r="BJ128" s="49">
        <v>63</v>
      </c>
      <c r="BK128" s="49"/>
      <c r="BL128" s="49"/>
      <c r="BM128" s="49"/>
      <c r="BN128" s="49"/>
      <c r="BO128" s="49"/>
      <c r="BP128" s="49"/>
      <c r="BQ128" s="123" t="s">
        <v>5588</v>
      </c>
      <c r="BR128" s="123" t="s">
        <v>5668</v>
      </c>
      <c r="BS128" s="123" t="s">
        <v>5740</v>
      </c>
      <c r="BT128" s="123" t="s">
        <v>5740</v>
      </c>
      <c r="BU128" s="2"/>
      <c r="BV128" s="3"/>
      <c r="BW128" s="3"/>
      <c r="BX128" s="3"/>
      <c r="BY128" s="3"/>
    </row>
    <row r="129" spans="1:77" ht="15">
      <c r="A129" s="65" t="s">
        <v>435</v>
      </c>
      <c r="B129" s="66"/>
      <c r="C129" s="66" t="s">
        <v>46</v>
      </c>
      <c r="D129" s="67">
        <v>10</v>
      </c>
      <c r="E129" s="69"/>
      <c r="F129" s="111" t="str">
        <f>HYPERLINK("https://pbs.twimg.com/profile_images/1401631375883702276/yOx8faYI_normal.jpg")</f>
        <v>https://pbs.twimg.com/profile_images/1401631375883702276/yOx8faYI_normal.jpg</v>
      </c>
      <c r="G129" s="66"/>
      <c r="H129" s="70" t="s">
        <v>435</v>
      </c>
      <c r="I129" s="71" t="s">
        <v>5818</v>
      </c>
      <c r="J129" s="71" t="s">
        <v>75</v>
      </c>
      <c r="K129" s="70" t="s">
        <v>2426</v>
      </c>
      <c r="L129" s="74">
        <v>477.0952380952381</v>
      </c>
      <c r="M129" s="75">
        <v>2439.0126953125</v>
      </c>
      <c r="N129" s="75">
        <v>8019.048828125</v>
      </c>
      <c r="O129" s="76"/>
      <c r="P129" s="77"/>
      <c r="Q129" s="77"/>
      <c r="R129" s="104"/>
      <c r="S129" s="49">
        <v>1</v>
      </c>
      <c r="T129" s="49">
        <v>0</v>
      </c>
      <c r="U129" s="50">
        <v>0</v>
      </c>
      <c r="V129" s="50">
        <v>0.000804</v>
      </c>
      <c r="W129" s="50">
        <v>0.000271</v>
      </c>
      <c r="X129" s="50">
        <v>0.373911</v>
      </c>
      <c r="Y129" s="50">
        <v>0</v>
      </c>
      <c r="Z129" s="50">
        <v>0</v>
      </c>
      <c r="AA129" s="72">
        <v>129</v>
      </c>
      <c r="AB129" s="72"/>
      <c r="AC129" s="73"/>
      <c r="AD129" s="89" t="s">
        <v>1601</v>
      </c>
      <c r="AE129" s="102" t="s">
        <v>1375</v>
      </c>
      <c r="AF129" s="89">
        <v>115</v>
      </c>
      <c r="AG129" s="89">
        <v>98</v>
      </c>
      <c r="AH129" s="89">
        <v>404</v>
      </c>
      <c r="AI129" s="89">
        <v>9268</v>
      </c>
      <c r="AJ129" s="89"/>
      <c r="AK129" s="89" t="s">
        <v>2069</v>
      </c>
      <c r="AL129" s="89"/>
      <c r="AM129" s="89"/>
      <c r="AN129" s="89"/>
      <c r="AO129" s="92">
        <v>44158.59269675926</v>
      </c>
      <c r="AP129" s="89"/>
      <c r="AQ129" s="89" t="b">
        <v>1</v>
      </c>
      <c r="AR129" s="89" t="b">
        <v>0</v>
      </c>
      <c r="AS129" s="89" t="b">
        <v>0</v>
      </c>
      <c r="AT129" s="89"/>
      <c r="AU129" s="89">
        <v>1</v>
      </c>
      <c r="AV129" s="89"/>
      <c r="AW129" s="89" t="b">
        <v>0</v>
      </c>
      <c r="AX129" s="89" t="s">
        <v>2300</v>
      </c>
      <c r="AY129" s="95" t="str">
        <f>HYPERLINK("https://twitter.com/emppuvuori")</f>
        <v>https://twitter.com/emppuvuori</v>
      </c>
      <c r="AZ129" s="89" t="s">
        <v>65</v>
      </c>
      <c r="BA129" s="89"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282</v>
      </c>
      <c r="B130" s="66"/>
      <c r="C130" s="66" t="s">
        <v>46</v>
      </c>
      <c r="D130" s="67"/>
      <c r="E130" s="69"/>
      <c r="F130" s="111" t="str">
        <f>HYPERLINK("https://pbs.twimg.com/profile_images/1215832052890775552/cSrlZYsv_normal.jpg")</f>
        <v>https://pbs.twimg.com/profile_images/1215832052890775552/cSrlZYsv_normal.jpg</v>
      </c>
      <c r="G130" s="66"/>
      <c r="H130" s="70" t="s">
        <v>282</v>
      </c>
      <c r="I130" s="71" t="s">
        <v>5822</v>
      </c>
      <c r="J130" s="71" t="s">
        <v>73</v>
      </c>
      <c r="K130" s="70" t="s">
        <v>2427</v>
      </c>
      <c r="L130" s="74">
        <v>1</v>
      </c>
      <c r="M130" s="75">
        <v>6922.83642578125</v>
      </c>
      <c r="N130" s="75">
        <v>9084.3701171875</v>
      </c>
      <c r="O130" s="76"/>
      <c r="P130" s="77"/>
      <c r="Q130" s="77"/>
      <c r="R130" s="104"/>
      <c r="S130" s="49">
        <v>0</v>
      </c>
      <c r="T130" s="49">
        <v>3</v>
      </c>
      <c r="U130" s="50">
        <v>972</v>
      </c>
      <c r="V130" s="50">
        <v>0.000898</v>
      </c>
      <c r="W130" s="50">
        <v>0.001941</v>
      </c>
      <c r="X130" s="50">
        <v>0.973558</v>
      </c>
      <c r="Y130" s="50">
        <v>0.16666666666666666</v>
      </c>
      <c r="Z130" s="50">
        <v>0</v>
      </c>
      <c r="AA130" s="72">
        <v>130</v>
      </c>
      <c r="AB130" s="72"/>
      <c r="AC130" s="73"/>
      <c r="AD130" s="89" t="s">
        <v>1602</v>
      </c>
      <c r="AE130" s="102" t="s">
        <v>1376</v>
      </c>
      <c r="AF130" s="89">
        <v>1166</v>
      </c>
      <c r="AG130" s="89">
        <v>364</v>
      </c>
      <c r="AH130" s="89">
        <v>11872</v>
      </c>
      <c r="AI130" s="89">
        <v>28830</v>
      </c>
      <c r="AJ130" s="89"/>
      <c r="AK130" s="89" t="s">
        <v>2070</v>
      </c>
      <c r="AL130" s="89"/>
      <c r="AM130" s="89"/>
      <c r="AN130" s="89"/>
      <c r="AO130" s="92">
        <v>43815.84006944444</v>
      </c>
      <c r="AP130" s="95" t="str">
        <f>HYPERLINK("https://pbs.twimg.com/profile_banners/1206667468141408256/1578711846")</f>
        <v>https://pbs.twimg.com/profile_banners/1206667468141408256/1578711846</v>
      </c>
      <c r="AQ130" s="89" t="b">
        <v>1</v>
      </c>
      <c r="AR130" s="89" t="b">
        <v>0</v>
      </c>
      <c r="AS130" s="89" t="b">
        <v>0</v>
      </c>
      <c r="AT130" s="89"/>
      <c r="AU130" s="89">
        <v>0</v>
      </c>
      <c r="AV130" s="89"/>
      <c r="AW130" s="89" t="b">
        <v>0</v>
      </c>
      <c r="AX130" s="89" t="s">
        <v>2300</v>
      </c>
      <c r="AY130" s="95" t="str">
        <f>HYPERLINK("https://twitter.com/reviewpierre")</f>
        <v>https://twitter.com/reviewpierre</v>
      </c>
      <c r="AZ130" s="89" t="s">
        <v>66</v>
      </c>
      <c r="BA130" s="89" t="str">
        <f>REPLACE(INDEX(GroupVertices[Group],MATCH(Vertices[[#This Row],[Vertex]],GroupVertices[Vertex],0)),1,1,"")</f>
        <v>5</v>
      </c>
      <c r="BB130" s="49">
        <v>0</v>
      </c>
      <c r="BC130" s="50">
        <v>0</v>
      </c>
      <c r="BD130" s="49">
        <v>0</v>
      </c>
      <c r="BE130" s="50">
        <v>0</v>
      </c>
      <c r="BF130" s="49">
        <v>0</v>
      </c>
      <c r="BG130" s="50">
        <v>0</v>
      </c>
      <c r="BH130" s="49">
        <v>63</v>
      </c>
      <c r="BI130" s="50">
        <v>100</v>
      </c>
      <c r="BJ130" s="49">
        <v>63</v>
      </c>
      <c r="BK130" s="49"/>
      <c r="BL130" s="49"/>
      <c r="BM130" s="49"/>
      <c r="BN130" s="49"/>
      <c r="BO130" s="49" t="s">
        <v>226</v>
      </c>
      <c r="BP130" s="49" t="s">
        <v>226</v>
      </c>
      <c r="BQ130" s="123" t="s">
        <v>5589</v>
      </c>
      <c r="BR130" s="123" t="s">
        <v>5669</v>
      </c>
      <c r="BS130" s="123" t="s">
        <v>5741</v>
      </c>
      <c r="BT130" s="123" t="s">
        <v>5741</v>
      </c>
      <c r="BU130" s="2"/>
      <c r="BV130" s="3"/>
      <c r="BW130" s="3"/>
      <c r="BX130" s="3"/>
      <c r="BY130" s="3"/>
    </row>
    <row r="131" spans="1:77" ht="15">
      <c r="A131" s="65" t="s">
        <v>436</v>
      </c>
      <c r="B131" s="66"/>
      <c r="C131" s="66" t="s">
        <v>64</v>
      </c>
      <c r="D131" s="67">
        <v>392.9842791621962</v>
      </c>
      <c r="E131" s="69"/>
      <c r="F131" s="111" t="str">
        <f>HYPERLINK("https://pbs.twimg.com/profile_images/1333720628713709568/_MVMKFhH_normal.jpg")</f>
        <v>https://pbs.twimg.com/profile_images/1333720628713709568/_MVMKFhH_normal.jpg</v>
      </c>
      <c r="G131" s="66"/>
      <c r="H131" s="70" t="s">
        <v>436</v>
      </c>
      <c r="I131" s="71" t="s">
        <v>5822</v>
      </c>
      <c r="J131" s="71" t="s">
        <v>75</v>
      </c>
      <c r="K131" s="70" t="s">
        <v>2428</v>
      </c>
      <c r="L131" s="74">
        <v>953.1904761904761</v>
      </c>
      <c r="M131" s="75">
        <v>7412.1787109375</v>
      </c>
      <c r="N131" s="75">
        <v>9114.216796875</v>
      </c>
      <c r="O131" s="76"/>
      <c r="P131" s="77"/>
      <c r="Q131" s="77"/>
      <c r="R131" s="104"/>
      <c r="S131" s="49">
        <v>2</v>
      </c>
      <c r="T131" s="49">
        <v>0</v>
      </c>
      <c r="U131" s="50">
        <v>488</v>
      </c>
      <c r="V131" s="50">
        <v>0.000737</v>
      </c>
      <c r="W131" s="50">
        <v>0.00023</v>
      </c>
      <c r="X131" s="50">
        <v>0.866287</v>
      </c>
      <c r="Y131" s="50">
        <v>0</v>
      </c>
      <c r="Z131" s="50">
        <v>0</v>
      </c>
      <c r="AA131" s="72">
        <v>131</v>
      </c>
      <c r="AB131" s="72"/>
      <c r="AC131" s="73"/>
      <c r="AD131" s="89" t="s">
        <v>1603</v>
      </c>
      <c r="AE131" s="102" t="s">
        <v>1418</v>
      </c>
      <c r="AF131" s="89">
        <v>546</v>
      </c>
      <c r="AG131" s="89">
        <v>18907</v>
      </c>
      <c r="AH131" s="89">
        <v>14829</v>
      </c>
      <c r="AI131" s="89">
        <v>13394</v>
      </c>
      <c r="AJ131" s="89"/>
      <c r="AK131" s="89" t="s">
        <v>2071</v>
      </c>
      <c r="AL131" s="89" t="s">
        <v>2252</v>
      </c>
      <c r="AM131" s="95" t="str">
        <f>HYPERLINK("https://t.co/ax7y5TMZ7z")</f>
        <v>https://t.co/ax7y5TMZ7z</v>
      </c>
      <c r="AN131" s="89"/>
      <c r="AO131" s="92">
        <v>40058.83697916667</v>
      </c>
      <c r="AP131" s="95" t="str">
        <f>HYPERLINK("https://pbs.twimg.com/profile_banners/71061262/1606825291")</f>
        <v>https://pbs.twimg.com/profile_banners/71061262/1606825291</v>
      </c>
      <c r="AQ131" s="89" t="b">
        <v>0</v>
      </c>
      <c r="AR131" s="89" t="b">
        <v>0</v>
      </c>
      <c r="AS131" s="89" t="b">
        <v>1</v>
      </c>
      <c r="AT131" s="89"/>
      <c r="AU131" s="89">
        <v>228</v>
      </c>
      <c r="AV131" s="95" t="str">
        <f>HYPERLINK("https://abs.twimg.com/images/themes/theme1/bg.png")</f>
        <v>https://abs.twimg.com/images/themes/theme1/bg.png</v>
      </c>
      <c r="AW131" s="89" t="b">
        <v>1</v>
      </c>
      <c r="AX131" s="89" t="s">
        <v>2300</v>
      </c>
      <c r="AY131" s="95" t="str">
        <f>HYPERLINK("https://twitter.com/er_korhola")</f>
        <v>https://twitter.com/er_korhola</v>
      </c>
      <c r="AZ131" s="89" t="s">
        <v>65</v>
      </c>
      <c r="BA131" s="89"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283</v>
      </c>
      <c r="B132" s="66"/>
      <c r="C132" s="66" t="s">
        <v>46</v>
      </c>
      <c r="D132" s="67"/>
      <c r="E132" s="69"/>
      <c r="F132" s="111" t="str">
        <f>HYPERLINK("https://pbs.twimg.com/profile_images/1463928114489311234/slYI9XHC_normal.jpg")</f>
        <v>https://pbs.twimg.com/profile_images/1463928114489311234/slYI9XHC_normal.jpg</v>
      </c>
      <c r="G132" s="66"/>
      <c r="H132" s="70" t="s">
        <v>283</v>
      </c>
      <c r="I132" s="71" t="s">
        <v>5818</v>
      </c>
      <c r="J132" s="71" t="s">
        <v>73</v>
      </c>
      <c r="K132" s="70" t="s">
        <v>2429</v>
      </c>
      <c r="L132" s="74">
        <v>1</v>
      </c>
      <c r="M132" s="75">
        <v>2818.86669921875</v>
      </c>
      <c r="N132" s="75">
        <v>7197.4521484375</v>
      </c>
      <c r="O132" s="76"/>
      <c r="P132" s="77"/>
      <c r="Q132" s="77"/>
      <c r="R132" s="104"/>
      <c r="S132" s="49">
        <v>0</v>
      </c>
      <c r="T132" s="49">
        <v>1</v>
      </c>
      <c r="U132" s="50">
        <v>0</v>
      </c>
      <c r="V132" s="50">
        <v>0.000769</v>
      </c>
      <c r="W132" s="50">
        <v>0.000197</v>
      </c>
      <c r="X132" s="50">
        <v>0.419966</v>
      </c>
      <c r="Y132" s="50">
        <v>0</v>
      </c>
      <c r="Z132" s="50">
        <v>0</v>
      </c>
      <c r="AA132" s="72">
        <v>132</v>
      </c>
      <c r="AB132" s="72"/>
      <c r="AC132" s="73"/>
      <c r="AD132" s="89" t="s">
        <v>1604</v>
      </c>
      <c r="AE132" s="102" t="s">
        <v>1855</v>
      </c>
      <c r="AF132" s="89">
        <v>559</v>
      </c>
      <c r="AG132" s="89">
        <v>362</v>
      </c>
      <c r="AH132" s="89">
        <v>4828</v>
      </c>
      <c r="AI132" s="89">
        <v>46445</v>
      </c>
      <c r="AJ132" s="89"/>
      <c r="AK132" s="89" t="s">
        <v>2072</v>
      </c>
      <c r="AL132" s="89" t="s">
        <v>2253</v>
      </c>
      <c r="AM132" s="89"/>
      <c r="AN132" s="89"/>
      <c r="AO132" s="92">
        <v>44406.46246527778</v>
      </c>
      <c r="AP132" s="95" t="str">
        <f>HYPERLINK("https://pbs.twimg.com/profile_banners/1420702048421560323/1630070302")</f>
        <v>https://pbs.twimg.com/profile_banners/1420702048421560323/1630070302</v>
      </c>
      <c r="AQ132" s="89" t="b">
        <v>1</v>
      </c>
      <c r="AR132" s="89" t="b">
        <v>0</v>
      </c>
      <c r="AS132" s="89" t="b">
        <v>0</v>
      </c>
      <c r="AT132" s="89"/>
      <c r="AU132" s="89">
        <v>0</v>
      </c>
      <c r="AV132" s="89"/>
      <c r="AW132" s="89" t="b">
        <v>0</v>
      </c>
      <c r="AX132" s="89" t="s">
        <v>2300</v>
      </c>
      <c r="AY132" s="95" t="str">
        <f>HYPERLINK("https://twitter.com/anitta65875243")</f>
        <v>https://twitter.com/anitta65875243</v>
      </c>
      <c r="AZ132" s="89" t="s">
        <v>66</v>
      </c>
      <c r="BA132" s="89" t="str">
        <f>REPLACE(INDEX(GroupVertices[Group],MATCH(Vertices[[#This Row],[Vertex]],GroupVertices[Vertex],0)),1,1,"")</f>
        <v>1</v>
      </c>
      <c r="BB132" s="49">
        <v>0</v>
      </c>
      <c r="BC132" s="50">
        <v>0</v>
      </c>
      <c r="BD132" s="49">
        <v>0</v>
      </c>
      <c r="BE132" s="50">
        <v>0</v>
      </c>
      <c r="BF132" s="49">
        <v>0</v>
      </c>
      <c r="BG132" s="50">
        <v>0</v>
      </c>
      <c r="BH132" s="49">
        <v>16</v>
      </c>
      <c r="BI132" s="50">
        <v>100</v>
      </c>
      <c r="BJ132" s="49">
        <v>16</v>
      </c>
      <c r="BK132" s="49" t="s">
        <v>5189</v>
      </c>
      <c r="BL132" s="49" t="s">
        <v>5189</v>
      </c>
      <c r="BM132" s="49" t="s">
        <v>693</v>
      </c>
      <c r="BN132" s="49" t="s">
        <v>693</v>
      </c>
      <c r="BO132" s="49" t="s">
        <v>712</v>
      </c>
      <c r="BP132" s="49" t="s">
        <v>712</v>
      </c>
      <c r="BQ132" s="123" t="s">
        <v>5590</v>
      </c>
      <c r="BR132" s="123" t="s">
        <v>5590</v>
      </c>
      <c r="BS132" s="123" t="s">
        <v>5742</v>
      </c>
      <c r="BT132" s="123" t="s">
        <v>5742</v>
      </c>
      <c r="BU132" s="2"/>
      <c r="BV132" s="3"/>
      <c r="BW132" s="3"/>
      <c r="BX132" s="3"/>
      <c r="BY132" s="3"/>
    </row>
    <row r="133" spans="1:77" ht="15">
      <c r="A133" s="65" t="s">
        <v>356</v>
      </c>
      <c r="B133" s="66"/>
      <c r="C133" s="66" t="s">
        <v>64</v>
      </c>
      <c r="D133" s="67">
        <v>1000</v>
      </c>
      <c r="E133" s="69"/>
      <c r="F133" s="111" t="str">
        <f>HYPERLINK("https://pbs.twimg.com/profile_images/1462370096505106436/gc7Kb9br_normal.jpg")</f>
        <v>https://pbs.twimg.com/profile_images/1462370096505106436/gc7Kb9br_normal.jpg</v>
      </c>
      <c r="G133" s="66"/>
      <c r="H133" s="70" t="s">
        <v>356</v>
      </c>
      <c r="I133" s="71" t="s">
        <v>5818</v>
      </c>
      <c r="J133" s="71" t="s">
        <v>73</v>
      </c>
      <c r="K133" s="70" t="s">
        <v>2430</v>
      </c>
      <c r="L133" s="74">
        <v>3333.6666666666665</v>
      </c>
      <c r="M133" s="75">
        <v>2318.20751953125</v>
      </c>
      <c r="N133" s="75">
        <v>7447.87548828125</v>
      </c>
      <c r="O133" s="76"/>
      <c r="P133" s="77"/>
      <c r="Q133" s="77"/>
      <c r="R133" s="104"/>
      <c r="S133" s="49">
        <v>7</v>
      </c>
      <c r="T133" s="49">
        <v>1</v>
      </c>
      <c r="U133" s="50">
        <v>1592.52322</v>
      </c>
      <c r="V133" s="50">
        <v>0.000947</v>
      </c>
      <c r="W133" s="50">
        <v>0.001689</v>
      </c>
      <c r="X133" s="50">
        <v>2.223252</v>
      </c>
      <c r="Y133" s="50">
        <v>0.03333333333333333</v>
      </c>
      <c r="Z133" s="50">
        <v>0</v>
      </c>
      <c r="AA133" s="72">
        <v>133</v>
      </c>
      <c r="AB133" s="72"/>
      <c r="AC133" s="73"/>
      <c r="AD133" s="89" t="s">
        <v>1605</v>
      </c>
      <c r="AE133" s="102" t="s">
        <v>1856</v>
      </c>
      <c r="AF133" s="89">
        <v>153</v>
      </c>
      <c r="AG133" s="89">
        <v>228</v>
      </c>
      <c r="AH133" s="89">
        <v>262</v>
      </c>
      <c r="AI133" s="89">
        <v>259</v>
      </c>
      <c r="AJ133" s="89"/>
      <c r="AK133" s="89" t="s">
        <v>2073</v>
      </c>
      <c r="AL133" s="89" t="s">
        <v>2254</v>
      </c>
      <c r="AM133" s="89"/>
      <c r="AN133" s="89"/>
      <c r="AO133" s="92">
        <v>44520.83572916667</v>
      </c>
      <c r="AP133" s="95" t="str">
        <f>HYPERLINK("https://pbs.twimg.com/profile_banners/1462149556519550982/1638386629")</f>
        <v>https://pbs.twimg.com/profile_banners/1462149556519550982/1638386629</v>
      </c>
      <c r="AQ133" s="89" t="b">
        <v>1</v>
      </c>
      <c r="AR133" s="89" t="b">
        <v>0</v>
      </c>
      <c r="AS133" s="89" t="b">
        <v>0</v>
      </c>
      <c r="AT133" s="89"/>
      <c r="AU133" s="89">
        <v>0</v>
      </c>
      <c r="AV133" s="89"/>
      <c r="AW133" s="89" t="b">
        <v>0</v>
      </c>
      <c r="AX133" s="89" t="s">
        <v>2300</v>
      </c>
      <c r="AY133" s="95" t="str">
        <f>HYPERLINK("https://twitter.com/petterileppa")</f>
        <v>https://twitter.com/petterileppa</v>
      </c>
      <c r="AZ133" s="89" t="s">
        <v>66</v>
      </c>
      <c r="BA133" s="89" t="str">
        <f>REPLACE(INDEX(GroupVertices[Group],MATCH(Vertices[[#This Row],[Vertex]],GroupVertices[Vertex],0)),1,1,"")</f>
        <v>1</v>
      </c>
      <c r="BB133" s="49">
        <v>0</v>
      </c>
      <c r="BC133" s="50">
        <v>0</v>
      </c>
      <c r="BD133" s="49">
        <v>0</v>
      </c>
      <c r="BE133" s="50">
        <v>0</v>
      </c>
      <c r="BF133" s="49">
        <v>0</v>
      </c>
      <c r="BG133" s="50">
        <v>0</v>
      </c>
      <c r="BH133" s="49">
        <v>16</v>
      </c>
      <c r="BI133" s="50">
        <v>100</v>
      </c>
      <c r="BJ133" s="49">
        <v>16</v>
      </c>
      <c r="BK133" s="49" t="s">
        <v>5189</v>
      </c>
      <c r="BL133" s="49" t="s">
        <v>5189</v>
      </c>
      <c r="BM133" s="49" t="s">
        <v>693</v>
      </c>
      <c r="BN133" s="49" t="s">
        <v>693</v>
      </c>
      <c r="BO133" s="49" t="s">
        <v>712</v>
      </c>
      <c r="BP133" s="49" t="s">
        <v>712</v>
      </c>
      <c r="BQ133" s="123" t="s">
        <v>5590</v>
      </c>
      <c r="BR133" s="123" t="s">
        <v>5590</v>
      </c>
      <c r="BS133" s="123" t="s">
        <v>5742</v>
      </c>
      <c r="BT133" s="123" t="s">
        <v>5742</v>
      </c>
      <c r="BU133" s="2"/>
      <c r="BV133" s="3"/>
      <c r="BW133" s="3"/>
      <c r="BX133" s="3"/>
      <c r="BY133" s="3"/>
    </row>
    <row r="134" spans="1:77" ht="15">
      <c r="A134" s="65" t="s">
        <v>284</v>
      </c>
      <c r="B134" s="66"/>
      <c r="C134" s="66" t="s">
        <v>46</v>
      </c>
      <c r="D134" s="67"/>
      <c r="E134" s="69"/>
      <c r="F134" s="111" t="str">
        <f>HYPERLINK("https://pbs.twimg.com/profile_images/1455651929644838917/WEjwVKg1_normal.jpg")</f>
        <v>https://pbs.twimg.com/profile_images/1455651929644838917/WEjwVKg1_normal.jpg</v>
      </c>
      <c r="G134" s="66"/>
      <c r="H134" s="70" t="s">
        <v>284</v>
      </c>
      <c r="I134" s="71" t="s">
        <v>5834</v>
      </c>
      <c r="J134" s="71" t="s">
        <v>73</v>
      </c>
      <c r="K134" s="70" t="s">
        <v>2431</v>
      </c>
      <c r="L134" s="74">
        <v>1</v>
      </c>
      <c r="M134" s="75">
        <v>3564.367431640625</v>
      </c>
      <c r="N134" s="75">
        <v>2130.02978515625</v>
      </c>
      <c r="O134" s="76"/>
      <c r="P134" s="77"/>
      <c r="Q134" s="77"/>
      <c r="R134" s="104"/>
      <c r="S134" s="49">
        <v>0</v>
      </c>
      <c r="T134" s="49">
        <v>3</v>
      </c>
      <c r="U134" s="50">
        <v>0.111111</v>
      </c>
      <c r="V134" s="50">
        <v>0.000873</v>
      </c>
      <c r="W134" s="50">
        <v>0.020768000000000002</v>
      </c>
      <c r="X134" s="50">
        <v>0.627945</v>
      </c>
      <c r="Y134" s="50">
        <v>0.3333333333333333</v>
      </c>
      <c r="Z134" s="50">
        <v>0</v>
      </c>
      <c r="AA134" s="72">
        <v>134</v>
      </c>
      <c r="AB134" s="72"/>
      <c r="AC134" s="73"/>
      <c r="AD134" s="89" t="s">
        <v>1606</v>
      </c>
      <c r="AE134" s="102" t="s">
        <v>1857</v>
      </c>
      <c r="AF134" s="89">
        <v>113</v>
      </c>
      <c r="AG134" s="89">
        <v>60</v>
      </c>
      <c r="AH134" s="89">
        <v>1456</v>
      </c>
      <c r="AI134" s="89">
        <v>78</v>
      </c>
      <c r="AJ134" s="89"/>
      <c r="AK134" s="89" t="s">
        <v>2074</v>
      </c>
      <c r="AL134" s="89"/>
      <c r="AM134" s="89"/>
      <c r="AN134" s="89"/>
      <c r="AO134" s="92">
        <v>44502.90454861111</v>
      </c>
      <c r="AP134" s="89"/>
      <c r="AQ134" s="89" t="b">
        <v>1</v>
      </c>
      <c r="AR134" s="89" t="b">
        <v>0</v>
      </c>
      <c r="AS134" s="89" t="b">
        <v>0</v>
      </c>
      <c r="AT134" s="89"/>
      <c r="AU134" s="89">
        <v>0</v>
      </c>
      <c r="AV134" s="89"/>
      <c r="AW134" s="89" t="b">
        <v>0</v>
      </c>
      <c r="AX134" s="89" t="s">
        <v>2300</v>
      </c>
      <c r="AY134" s="95" t="str">
        <f>HYPERLINK("https://twitter.com/mpbacardinen")</f>
        <v>https://twitter.com/mpbacardinen</v>
      </c>
      <c r="AZ134" s="89" t="s">
        <v>66</v>
      </c>
      <c r="BA134" s="89" t="str">
        <f>REPLACE(INDEX(GroupVertices[Group],MATCH(Vertices[[#This Row],[Vertex]],GroupVertices[Vertex],0)),1,1,"")</f>
        <v>3</v>
      </c>
      <c r="BB134" s="49">
        <v>0</v>
      </c>
      <c r="BC134" s="50">
        <v>0</v>
      </c>
      <c r="BD134" s="49">
        <v>0</v>
      </c>
      <c r="BE134" s="50">
        <v>0</v>
      </c>
      <c r="BF134" s="49">
        <v>0</v>
      </c>
      <c r="BG134" s="50">
        <v>0</v>
      </c>
      <c r="BH134" s="49">
        <v>13</v>
      </c>
      <c r="BI134" s="50">
        <v>100</v>
      </c>
      <c r="BJ134" s="49">
        <v>13</v>
      </c>
      <c r="BK134" s="49"/>
      <c r="BL134" s="49"/>
      <c r="BM134" s="49"/>
      <c r="BN134" s="49"/>
      <c r="BO134" s="49" t="s">
        <v>712</v>
      </c>
      <c r="BP134" s="49" t="s">
        <v>712</v>
      </c>
      <c r="BQ134" s="123" t="s">
        <v>5561</v>
      </c>
      <c r="BR134" s="123" t="s">
        <v>5561</v>
      </c>
      <c r="BS134" s="123" t="s">
        <v>5713</v>
      </c>
      <c r="BT134" s="123" t="s">
        <v>5713</v>
      </c>
      <c r="BU134" s="2"/>
      <c r="BV134" s="3"/>
      <c r="BW134" s="3"/>
      <c r="BX134" s="3"/>
      <c r="BY134" s="3"/>
    </row>
    <row r="135" spans="1:77" ht="15">
      <c r="A135" s="65" t="s">
        <v>285</v>
      </c>
      <c r="B135" s="66"/>
      <c r="C135" s="66" t="s">
        <v>46</v>
      </c>
      <c r="D135" s="67"/>
      <c r="E135" s="69"/>
      <c r="F135" s="111" t="str">
        <f>HYPERLINK("https://pbs.twimg.com/profile_images/1449036730150100994/u_KEukOG_normal.jpg")</f>
        <v>https://pbs.twimg.com/profile_images/1449036730150100994/u_KEukOG_normal.jpg</v>
      </c>
      <c r="G135" s="66"/>
      <c r="H135" s="70" t="s">
        <v>285</v>
      </c>
      <c r="I135" s="71" t="s">
        <v>5834</v>
      </c>
      <c r="J135" s="71" t="s">
        <v>73</v>
      </c>
      <c r="K135" s="70" t="s">
        <v>2432</v>
      </c>
      <c r="L135" s="74">
        <v>1</v>
      </c>
      <c r="M135" s="75">
        <v>4149.23095703125</v>
      </c>
      <c r="N135" s="75">
        <v>2278.503173828125</v>
      </c>
      <c r="O135" s="76"/>
      <c r="P135" s="77"/>
      <c r="Q135" s="77"/>
      <c r="R135" s="104"/>
      <c r="S135" s="49">
        <v>0</v>
      </c>
      <c r="T135" s="49">
        <v>3</v>
      </c>
      <c r="U135" s="50">
        <v>0.111111</v>
      </c>
      <c r="V135" s="50">
        <v>0.000873</v>
      </c>
      <c r="W135" s="50">
        <v>0.020768000000000002</v>
      </c>
      <c r="X135" s="50">
        <v>0.627945</v>
      </c>
      <c r="Y135" s="50">
        <v>0.3333333333333333</v>
      </c>
      <c r="Z135" s="50">
        <v>0</v>
      </c>
      <c r="AA135" s="72">
        <v>135</v>
      </c>
      <c r="AB135" s="72"/>
      <c r="AC135" s="73"/>
      <c r="AD135" s="89" t="s">
        <v>1607</v>
      </c>
      <c r="AE135" s="102" t="s">
        <v>1858</v>
      </c>
      <c r="AF135" s="89">
        <v>389</v>
      </c>
      <c r="AG135" s="89">
        <v>229</v>
      </c>
      <c r="AH135" s="89">
        <v>7299</v>
      </c>
      <c r="AI135" s="89">
        <v>1576</v>
      </c>
      <c r="AJ135" s="89"/>
      <c r="AK135" s="89" t="s">
        <v>2075</v>
      </c>
      <c r="AL135" s="89"/>
      <c r="AM135" s="89"/>
      <c r="AN135" s="89"/>
      <c r="AO135" s="92">
        <v>44034.69162037037</v>
      </c>
      <c r="AP135" s="95" t="str">
        <f>HYPERLINK("https://pbs.twimg.com/profile_banners/1285976389607358466/1595437098")</f>
        <v>https://pbs.twimg.com/profile_banners/1285976389607358466/1595437098</v>
      </c>
      <c r="AQ135" s="89" t="b">
        <v>1</v>
      </c>
      <c r="AR135" s="89" t="b">
        <v>0</v>
      </c>
      <c r="AS135" s="89" t="b">
        <v>0</v>
      </c>
      <c r="AT135" s="89"/>
      <c r="AU135" s="89">
        <v>0</v>
      </c>
      <c r="AV135" s="89"/>
      <c r="AW135" s="89" t="b">
        <v>0</v>
      </c>
      <c r="AX135" s="89" t="s">
        <v>2300</v>
      </c>
      <c r="AY135" s="95" t="str">
        <f>HYPERLINK("https://twitter.com/mbacardinen")</f>
        <v>https://twitter.com/mbacardinen</v>
      </c>
      <c r="AZ135" s="89" t="s">
        <v>66</v>
      </c>
      <c r="BA135" s="89" t="str">
        <f>REPLACE(INDEX(GroupVertices[Group],MATCH(Vertices[[#This Row],[Vertex]],GroupVertices[Vertex],0)),1,1,"")</f>
        <v>3</v>
      </c>
      <c r="BB135" s="49">
        <v>0</v>
      </c>
      <c r="BC135" s="50">
        <v>0</v>
      </c>
      <c r="BD135" s="49">
        <v>0</v>
      </c>
      <c r="BE135" s="50">
        <v>0</v>
      </c>
      <c r="BF135" s="49">
        <v>0</v>
      </c>
      <c r="BG135" s="50">
        <v>0</v>
      </c>
      <c r="BH135" s="49">
        <v>13</v>
      </c>
      <c r="BI135" s="50">
        <v>100</v>
      </c>
      <c r="BJ135" s="49">
        <v>13</v>
      </c>
      <c r="BK135" s="49"/>
      <c r="BL135" s="49"/>
      <c r="BM135" s="49"/>
      <c r="BN135" s="49"/>
      <c r="BO135" s="49" t="s">
        <v>712</v>
      </c>
      <c r="BP135" s="49" t="s">
        <v>712</v>
      </c>
      <c r="BQ135" s="123" t="s">
        <v>5561</v>
      </c>
      <c r="BR135" s="123" t="s">
        <v>5561</v>
      </c>
      <c r="BS135" s="123" t="s">
        <v>5713</v>
      </c>
      <c r="BT135" s="123" t="s">
        <v>5713</v>
      </c>
      <c r="BU135" s="2"/>
      <c r="BV135" s="3"/>
      <c r="BW135" s="3"/>
      <c r="BX135" s="3"/>
      <c r="BY135" s="3"/>
    </row>
    <row r="136" spans="1:77" ht="15">
      <c r="A136" s="65" t="s">
        <v>286</v>
      </c>
      <c r="B136" s="66"/>
      <c r="C136" s="66" t="s">
        <v>46</v>
      </c>
      <c r="D136" s="67"/>
      <c r="E136" s="69"/>
      <c r="F136" s="111" t="str">
        <f>HYPERLINK("https://pbs.twimg.com/profile_images/1453382262704283660/dNtJler__normal.jpg")</f>
        <v>https://pbs.twimg.com/profile_images/1453382262704283660/dNtJler__normal.jpg</v>
      </c>
      <c r="G136" s="66"/>
      <c r="H136" s="70" t="s">
        <v>286</v>
      </c>
      <c r="I136" s="71" t="s">
        <v>5834</v>
      </c>
      <c r="J136" s="71" t="s">
        <v>73</v>
      </c>
      <c r="K136" s="70" t="s">
        <v>2433</v>
      </c>
      <c r="L136" s="74">
        <v>1</v>
      </c>
      <c r="M136" s="75">
        <v>4088.99072265625</v>
      </c>
      <c r="N136" s="75">
        <v>3181.600341796875</v>
      </c>
      <c r="O136" s="76"/>
      <c r="P136" s="77"/>
      <c r="Q136" s="77"/>
      <c r="R136" s="104"/>
      <c r="S136" s="49">
        <v>0</v>
      </c>
      <c r="T136" s="49">
        <v>3</v>
      </c>
      <c r="U136" s="50">
        <v>0.111111</v>
      </c>
      <c r="V136" s="50">
        <v>0.000873</v>
      </c>
      <c r="W136" s="50">
        <v>0.020768000000000002</v>
      </c>
      <c r="X136" s="50">
        <v>0.627945</v>
      </c>
      <c r="Y136" s="50">
        <v>0.3333333333333333</v>
      </c>
      <c r="Z136" s="50">
        <v>0</v>
      </c>
      <c r="AA136" s="72">
        <v>136</v>
      </c>
      <c r="AB136" s="72"/>
      <c r="AC136" s="73"/>
      <c r="AD136" s="89" t="s">
        <v>1608</v>
      </c>
      <c r="AE136" s="102" t="s">
        <v>1859</v>
      </c>
      <c r="AF136" s="89">
        <v>450</v>
      </c>
      <c r="AG136" s="89">
        <v>268</v>
      </c>
      <c r="AH136" s="89">
        <v>68408</v>
      </c>
      <c r="AI136" s="89">
        <v>26636</v>
      </c>
      <c r="AJ136" s="89"/>
      <c r="AK136" s="89" t="s">
        <v>2076</v>
      </c>
      <c r="AL136" s="89" t="s">
        <v>2255</v>
      </c>
      <c r="AM136" s="95" t="str">
        <f>HYPERLINK("https://t.co/j0ZUz0lTWI")</f>
        <v>https://t.co/j0ZUz0lTWI</v>
      </c>
      <c r="AN136" s="89"/>
      <c r="AO136" s="92">
        <v>43970.510034722225</v>
      </c>
      <c r="AP136" s="95" t="str">
        <f>HYPERLINK("https://pbs.twimg.com/profile_banners/1262718096629997569/1638585975")</f>
        <v>https://pbs.twimg.com/profile_banners/1262718096629997569/1638585975</v>
      </c>
      <c r="AQ136" s="89" t="b">
        <v>1</v>
      </c>
      <c r="AR136" s="89" t="b">
        <v>0</v>
      </c>
      <c r="AS136" s="89" t="b">
        <v>1</v>
      </c>
      <c r="AT136" s="89"/>
      <c r="AU136" s="89">
        <v>0</v>
      </c>
      <c r="AV136" s="89"/>
      <c r="AW136" s="89" t="b">
        <v>0</v>
      </c>
      <c r="AX136" s="89" t="s">
        <v>2300</v>
      </c>
      <c r="AY136" s="95" t="str">
        <f>HYPERLINK("https://twitter.com/sannapiipponen")</f>
        <v>https://twitter.com/sannapiipponen</v>
      </c>
      <c r="AZ136" s="89" t="s">
        <v>66</v>
      </c>
      <c r="BA136" s="89" t="str">
        <f>REPLACE(INDEX(GroupVertices[Group],MATCH(Vertices[[#This Row],[Vertex]],GroupVertices[Vertex],0)),1,1,"")</f>
        <v>3</v>
      </c>
      <c r="BB136" s="49">
        <v>0</v>
      </c>
      <c r="BC136" s="50">
        <v>0</v>
      </c>
      <c r="BD136" s="49">
        <v>0</v>
      </c>
      <c r="BE136" s="50">
        <v>0</v>
      </c>
      <c r="BF136" s="49">
        <v>0</v>
      </c>
      <c r="BG136" s="50">
        <v>0</v>
      </c>
      <c r="BH136" s="49">
        <v>13</v>
      </c>
      <c r="BI136" s="50">
        <v>100</v>
      </c>
      <c r="BJ136" s="49">
        <v>13</v>
      </c>
      <c r="BK136" s="49"/>
      <c r="BL136" s="49"/>
      <c r="BM136" s="49"/>
      <c r="BN136" s="49"/>
      <c r="BO136" s="49" t="s">
        <v>712</v>
      </c>
      <c r="BP136" s="49" t="s">
        <v>712</v>
      </c>
      <c r="BQ136" s="123" t="s">
        <v>5561</v>
      </c>
      <c r="BR136" s="123" t="s">
        <v>5561</v>
      </c>
      <c r="BS136" s="123" t="s">
        <v>5713</v>
      </c>
      <c r="BT136" s="123" t="s">
        <v>5713</v>
      </c>
      <c r="BU136" s="2"/>
      <c r="BV136" s="3"/>
      <c r="BW136" s="3"/>
      <c r="BX136" s="3"/>
      <c r="BY136" s="3"/>
    </row>
    <row r="137" spans="1:77" ht="15">
      <c r="A137" s="65" t="s">
        <v>288</v>
      </c>
      <c r="B137" s="66"/>
      <c r="C137" s="66" t="s">
        <v>46</v>
      </c>
      <c r="D137" s="67">
        <v>10</v>
      </c>
      <c r="E137" s="69"/>
      <c r="F137" s="111" t="str">
        <f>HYPERLINK("https://abs.twimg.com/sticky/default_profile_images/default_profile_normal.png")</f>
        <v>https://abs.twimg.com/sticky/default_profile_images/default_profile_normal.png</v>
      </c>
      <c r="G137" s="66"/>
      <c r="H137" s="70" t="s">
        <v>288</v>
      </c>
      <c r="I137" s="71" t="s">
        <v>5820</v>
      </c>
      <c r="J137" s="71" t="s">
        <v>73</v>
      </c>
      <c r="K137" s="70" t="s">
        <v>2434</v>
      </c>
      <c r="L137" s="74">
        <v>477.0952380952381</v>
      </c>
      <c r="M137" s="75">
        <v>4484.140625</v>
      </c>
      <c r="N137" s="75">
        <v>6452.85205078125</v>
      </c>
      <c r="O137" s="76"/>
      <c r="P137" s="77"/>
      <c r="Q137" s="77"/>
      <c r="R137" s="104"/>
      <c r="S137" s="49">
        <v>1</v>
      </c>
      <c r="T137" s="49">
        <v>22</v>
      </c>
      <c r="U137" s="50">
        <v>12643.901041</v>
      </c>
      <c r="V137" s="50">
        <v>0.00097</v>
      </c>
      <c r="W137" s="50">
        <v>0.002836</v>
      </c>
      <c r="X137" s="50">
        <v>8.536593</v>
      </c>
      <c r="Y137" s="50">
        <v>0</v>
      </c>
      <c r="Z137" s="50">
        <v>0</v>
      </c>
      <c r="AA137" s="72">
        <v>137</v>
      </c>
      <c r="AB137" s="72"/>
      <c r="AC137" s="73"/>
      <c r="AD137" s="89" t="s">
        <v>1609</v>
      </c>
      <c r="AE137" s="102" t="s">
        <v>1860</v>
      </c>
      <c r="AF137" s="89">
        <v>136</v>
      </c>
      <c r="AG137" s="89">
        <v>79</v>
      </c>
      <c r="AH137" s="89">
        <v>1456</v>
      </c>
      <c r="AI137" s="89">
        <v>4373</v>
      </c>
      <c r="AJ137" s="89"/>
      <c r="AK137" s="89"/>
      <c r="AL137" s="89"/>
      <c r="AM137" s="89"/>
      <c r="AN137" s="89"/>
      <c r="AO137" s="92">
        <v>44461.62118055556</v>
      </c>
      <c r="AP137" s="89"/>
      <c r="AQ137" s="89" t="b">
        <v>1</v>
      </c>
      <c r="AR137" s="89" t="b">
        <v>1</v>
      </c>
      <c r="AS137" s="89" t="b">
        <v>0</v>
      </c>
      <c r="AT137" s="89"/>
      <c r="AU137" s="89">
        <v>1</v>
      </c>
      <c r="AV137" s="89"/>
      <c r="AW137" s="89" t="b">
        <v>0</v>
      </c>
      <c r="AX137" s="89" t="s">
        <v>2300</v>
      </c>
      <c r="AY137" s="95" t="str">
        <f>HYPERLINK("https://twitter.com/eramaas")</f>
        <v>https://twitter.com/eramaas</v>
      </c>
      <c r="AZ137" s="89" t="s">
        <v>66</v>
      </c>
      <c r="BA137" s="89" t="str">
        <f>REPLACE(INDEX(GroupVertices[Group],MATCH(Vertices[[#This Row],[Vertex]],GroupVertices[Vertex],0)),1,1,"")</f>
        <v>4</v>
      </c>
      <c r="BB137" s="49">
        <v>0</v>
      </c>
      <c r="BC137" s="50">
        <v>0</v>
      </c>
      <c r="BD137" s="49">
        <v>0</v>
      </c>
      <c r="BE137" s="50">
        <v>0</v>
      </c>
      <c r="BF137" s="49">
        <v>0</v>
      </c>
      <c r="BG137" s="50">
        <v>0</v>
      </c>
      <c r="BH137" s="49">
        <v>216</v>
      </c>
      <c r="BI137" s="50">
        <v>100</v>
      </c>
      <c r="BJ137" s="49">
        <v>216</v>
      </c>
      <c r="BK137" s="49"/>
      <c r="BL137" s="49"/>
      <c r="BM137" s="49"/>
      <c r="BN137" s="49"/>
      <c r="BO137" s="49"/>
      <c r="BP137" s="49"/>
      <c r="BQ137" s="123" t="s">
        <v>5591</v>
      </c>
      <c r="BR137" s="123" t="s">
        <v>5670</v>
      </c>
      <c r="BS137" s="123" t="s">
        <v>5743</v>
      </c>
      <c r="BT137" s="123" t="s">
        <v>5808</v>
      </c>
      <c r="BU137" s="2"/>
      <c r="BV137" s="3"/>
      <c r="BW137" s="3"/>
      <c r="BX137" s="3"/>
      <c r="BY137" s="3"/>
    </row>
    <row r="138" spans="1:77" ht="15">
      <c r="A138" s="65" t="s">
        <v>437</v>
      </c>
      <c r="B138" s="66"/>
      <c r="C138" s="66" t="s">
        <v>46</v>
      </c>
      <c r="D138" s="67">
        <v>10</v>
      </c>
      <c r="E138" s="69"/>
      <c r="F138" s="111" t="str">
        <f>HYPERLINK("https://pbs.twimg.com/profile_images/1312755906967408641/KHGqe9IQ_normal.jpg")</f>
        <v>https://pbs.twimg.com/profile_images/1312755906967408641/KHGqe9IQ_normal.jpg</v>
      </c>
      <c r="G138" s="66"/>
      <c r="H138" s="70" t="s">
        <v>437</v>
      </c>
      <c r="I138" s="71" t="s">
        <v>5820</v>
      </c>
      <c r="J138" s="71" t="s">
        <v>75</v>
      </c>
      <c r="K138" s="70" t="s">
        <v>2435</v>
      </c>
      <c r="L138" s="74">
        <v>477.0952380952381</v>
      </c>
      <c r="M138" s="75">
        <v>4891.01513671875</v>
      </c>
      <c r="N138" s="75">
        <v>7164.80078125</v>
      </c>
      <c r="O138" s="76"/>
      <c r="P138" s="77"/>
      <c r="Q138" s="77"/>
      <c r="R138" s="104"/>
      <c r="S138" s="49">
        <v>1</v>
      </c>
      <c r="T138" s="49">
        <v>0</v>
      </c>
      <c r="U138" s="50">
        <v>0</v>
      </c>
      <c r="V138" s="50">
        <v>0.000784</v>
      </c>
      <c r="W138" s="50">
        <v>0.000331</v>
      </c>
      <c r="X138" s="50">
        <v>0.479823</v>
      </c>
      <c r="Y138" s="50">
        <v>0</v>
      </c>
      <c r="Z138" s="50">
        <v>0</v>
      </c>
      <c r="AA138" s="72">
        <v>138</v>
      </c>
      <c r="AB138" s="72"/>
      <c r="AC138" s="73"/>
      <c r="AD138" s="89" t="s">
        <v>1610</v>
      </c>
      <c r="AE138" s="102" t="s">
        <v>1377</v>
      </c>
      <c r="AF138" s="89">
        <v>161</v>
      </c>
      <c r="AG138" s="89">
        <v>94</v>
      </c>
      <c r="AH138" s="89">
        <v>1839</v>
      </c>
      <c r="AI138" s="89">
        <v>9123</v>
      </c>
      <c r="AJ138" s="89"/>
      <c r="AK138" s="89" t="s">
        <v>2077</v>
      </c>
      <c r="AL138" s="89" t="s">
        <v>2256</v>
      </c>
      <c r="AM138" s="89"/>
      <c r="AN138" s="89"/>
      <c r="AO138" s="92">
        <v>43056.94552083333</v>
      </c>
      <c r="AP138" s="89"/>
      <c r="AQ138" s="89" t="b">
        <v>1</v>
      </c>
      <c r="AR138" s="89" t="b">
        <v>0</v>
      </c>
      <c r="AS138" s="89" t="b">
        <v>0</v>
      </c>
      <c r="AT138" s="89"/>
      <c r="AU138" s="89">
        <v>0</v>
      </c>
      <c r="AV138" s="89"/>
      <c r="AW138" s="89" t="b">
        <v>0</v>
      </c>
      <c r="AX138" s="89" t="s">
        <v>2300</v>
      </c>
      <c r="AY138" s="95" t="str">
        <f>HYPERLINK("https://twitter.com/sale43903750")</f>
        <v>https://twitter.com/sale43903750</v>
      </c>
      <c r="AZ138" s="89" t="s">
        <v>65</v>
      </c>
      <c r="BA138" s="89"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438</v>
      </c>
      <c r="B139" s="66"/>
      <c r="C139" s="66" t="s">
        <v>46</v>
      </c>
      <c r="D139" s="67">
        <v>10</v>
      </c>
      <c r="E139" s="69"/>
      <c r="F139" s="111" t="str">
        <f>HYPERLINK("https://pbs.twimg.com/profile_images/1404494078147010566/ZB1C5hpR_normal.jpg")</f>
        <v>https://pbs.twimg.com/profile_images/1404494078147010566/ZB1C5hpR_normal.jpg</v>
      </c>
      <c r="G139" s="66"/>
      <c r="H139" s="70" t="s">
        <v>438</v>
      </c>
      <c r="I139" s="71" t="s">
        <v>5820</v>
      </c>
      <c r="J139" s="71" t="s">
        <v>75</v>
      </c>
      <c r="K139" s="70" t="s">
        <v>2436</v>
      </c>
      <c r="L139" s="74">
        <v>477.0952380952381</v>
      </c>
      <c r="M139" s="75">
        <v>4348.931640625</v>
      </c>
      <c r="N139" s="75">
        <v>5761.59423828125</v>
      </c>
      <c r="O139" s="76"/>
      <c r="P139" s="77"/>
      <c r="Q139" s="77"/>
      <c r="R139" s="104"/>
      <c r="S139" s="49">
        <v>1</v>
      </c>
      <c r="T139" s="49">
        <v>0</v>
      </c>
      <c r="U139" s="50">
        <v>0</v>
      </c>
      <c r="V139" s="50">
        <v>0.000784</v>
      </c>
      <c r="W139" s="50">
        <v>0.000331</v>
      </c>
      <c r="X139" s="50">
        <v>0.479823</v>
      </c>
      <c r="Y139" s="50">
        <v>0</v>
      </c>
      <c r="Z139" s="50">
        <v>0</v>
      </c>
      <c r="AA139" s="72">
        <v>139</v>
      </c>
      <c r="AB139" s="72"/>
      <c r="AC139" s="73"/>
      <c r="AD139" s="89" t="s">
        <v>1611</v>
      </c>
      <c r="AE139" s="102" t="s">
        <v>1861</v>
      </c>
      <c r="AF139" s="89">
        <v>789</v>
      </c>
      <c r="AG139" s="89">
        <v>3994</v>
      </c>
      <c r="AH139" s="89">
        <v>5252</v>
      </c>
      <c r="AI139" s="89">
        <v>42752</v>
      </c>
      <c r="AJ139" s="89"/>
      <c r="AK139" s="89" t="s">
        <v>2078</v>
      </c>
      <c r="AL139" s="89" t="s">
        <v>2221</v>
      </c>
      <c r="AM139" s="95" t="str">
        <f>HYPERLINK("https://t.co/3LWzjlTZn4")</f>
        <v>https://t.co/3LWzjlTZn4</v>
      </c>
      <c r="AN139" s="89"/>
      <c r="AO139" s="92">
        <v>40674.83159722222</v>
      </c>
      <c r="AP139" s="95" t="str">
        <f>HYPERLINK("https://pbs.twimg.com/profile_banners/297020175/1631387747")</f>
        <v>https://pbs.twimg.com/profile_banners/297020175/1631387747</v>
      </c>
      <c r="AQ139" s="89" t="b">
        <v>0</v>
      </c>
      <c r="AR139" s="89" t="b">
        <v>0</v>
      </c>
      <c r="AS139" s="89" t="b">
        <v>1</v>
      </c>
      <c r="AT139" s="89"/>
      <c r="AU139" s="89">
        <v>13</v>
      </c>
      <c r="AV139" s="95" t="str">
        <f>HYPERLINK("https://abs.twimg.com/images/themes/theme1/bg.png")</f>
        <v>https://abs.twimg.com/images/themes/theme1/bg.png</v>
      </c>
      <c r="AW139" s="89" t="b">
        <v>0</v>
      </c>
      <c r="AX139" s="89" t="s">
        <v>2300</v>
      </c>
      <c r="AY139" s="95" t="str">
        <f>HYPERLINK("https://twitter.com/jipefin")</f>
        <v>https://twitter.com/jipefin</v>
      </c>
      <c r="AZ139" s="89" t="s">
        <v>65</v>
      </c>
      <c r="BA139" s="8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439</v>
      </c>
      <c r="B140" s="66"/>
      <c r="C140" s="66" t="s">
        <v>46</v>
      </c>
      <c r="D140" s="67">
        <v>10</v>
      </c>
      <c r="E140" s="69"/>
      <c r="F140" s="111" t="str">
        <f>HYPERLINK("https://pbs.twimg.com/profile_images/1207645561278611456/ZOHSj8zY_normal.jpg")</f>
        <v>https://pbs.twimg.com/profile_images/1207645561278611456/ZOHSj8zY_normal.jpg</v>
      </c>
      <c r="G140" s="66"/>
      <c r="H140" s="70" t="s">
        <v>439</v>
      </c>
      <c r="I140" s="71" t="s">
        <v>5820</v>
      </c>
      <c r="J140" s="71" t="s">
        <v>75</v>
      </c>
      <c r="K140" s="70" t="s">
        <v>2437</v>
      </c>
      <c r="L140" s="74">
        <v>477.0952380952381</v>
      </c>
      <c r="M140" s="75">
        <v>4257.2109375</v>
      </c>
      <c r="N140" s="75">
        <v>6842.521484375</v>
      </c>
      <c r="O140" s="76"/>
      <c r="P140" s="77"/>
      <c r="Q140" s="77"/>
      <c r="R140" s="104"/>
      <c r="S140" s="49">
        <v>1</v>
      </c>
      <c r="T140" s="49">
        <v>0</v>
      </c>
      <c r="U140" s="50">
        <v>0</v>
      </c>
      <c r="V140" s="50">
        <v>0.000784</v>
      </c>
      <c r="W140" s="50">
        <v>0.000331</v>
      </c>
      <c r="X140" s="50">
        <v>0.479823</v>
      </c>
      <c r="Y140" s="50">
        <v>0</v>
      </c>
      <c r="Z140" s="50">
        <v>0</v>
      </c>
      <c r="AA140" s="72">
        <v>140</v>
      </c>
      <c r="AB140" s="72"/>
      <c r="AC140" s="73"/>
      <c r="AD140" s="89" t="s">
        <v>1612</v>
      </c>
      <c r="AE140" s="102" t="s">
        <v>1862</v>
      </c>
      <c r="AF140" s="89">
        <v>144</v>
      </c>
      <c r="AG140" s="89">
        <v>2087</v>
      </c>
      <c r="AH140" s="89">
        <v>2489</v>
      </c>
      <c r="AI140" s="89">
        <v>3564</v>
      </c>
      <c r="AJ140" s="89"/>
      <c r="AK140" s="89" t="s">
        <v>2079</v>
      </c>
      <c r="AL140" s="89" t="s">
        <v>2257</v>
      </c>
      <c r="AM140" s="95" t="str">
        <f>HYPERLINK("https://t.co/MazFQxIt46")</f>
        <v>https://t.co/MazFQxIt46</v>
      </c>
      <c r="AN140" s="89"/>
      <c r="AO140" s="92">
        <v>42318.45894675926</v>
      </c>
      <c r="AP140" s="95" t="str">
        <f>HYPERLINK("https://pbs.twimg.com/profile_banners/4155947477/1612869191")</f>
        <v>https://pbs.twimg.com/profile_banners/4155947477/1612869191</v>
      </c>
      <c r="AQ140" s="89" t="b">
        <v>1</v>
      </c>
      <c r="AR140" s="89" t="b">
        <v>0</v>
      </c>
      <c r="AS140" s="89" t="b">
        <v>1</v>
      </c>
      <c r="AT140" s="89"/>
      <c r="AU140" s="89">
        <v>15</v>
      </c>
      <c r="AV140" s="95" t="str">
        <f>HYPERLINK("https://abs.twimg.com/images/themes/theme1/bg.png")</f>
        <v>https://abs.twimg.com/images/themes/theme1/bg.png</v>
      </c>
      <c r="AW140" s="89" t="b">
        <v>0</v>
      </c>
      <c r="AX140" s="89" t="s">
        <v>2300</v>
      </c>
      <c r="AY140" s="95" t="str">
        <f>HYPERLINK("https://twitter.com/janus_putkonen")</f>
        <v>https://twitter.com/janus_putkonen</v>
      </c>
      <c r="AZ140" s="89" t="s">
        <v>65</v>
      </c>
      <c r="BA140" s="89"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440</v>
      </c>
      <c r="B141" s="66"/>
      <c r="C141" s="66" t="s">
        <v>46</v>
      </c>
      <c r="D141" s="67">
        <v>10</v>
      </c>
      <c r="E141" s="69"/>
      <c r="F141" s="111" t="str">
        <f>HYPERLINK("https://pbs.twimg.com/profile_images/1407388164466130947/FS0Y12PQ_normal.jpg")</f>
        <v>https://pbs.twimg.com/profile_images/1407388164466130947/FS0Y12PQ_normal.jpg</v>
      </c>
      <c r="G141" s="66"/>
      <c r="H141" s="70" t="s">
        <v>440</v>
      </c>
      <c r="I141" s="71" t="s">
        <v>5820</v>
      </c>
      <c r="J141" s="71" t="s">
        <v>75</v>
      </c>
      <c r="K141" s="70" t="s">
        <v>2438</v>
      </c>
      <c r="L141" s="74">
        <v>477.0952380952381</v>
      </c>
      <c r="M141" s="75">
        <v>4642.50732421875</v>
      </c>
      <c r="N141" s="75">
        <v>7208.18798828125</v>
      </c>
      <c r="O141" s="76"/>
      <c r="P141" s="77"/>
      <c r="Q141" s="77"/>
      <c r="R141" s="104"/>
      <c r="S141" s="49">
        <v>1</v>
      </c>
      <c r="T141" s="49">
        <v>0</v>
      </c>
      <c r="U141" s="50">
        <v>0</v>
      </c>
      <c r="V141" s="50">
        <v>0.000784</v>
      </c>
      <c r="W141" s="50">
        <v>0.000331</v>
      </c>
      <c r="X141" s="50">
        <v>0.479823</v>
      </c>
      <c r="Y141" s="50">
        <v>0</v>
      </c>
      <c r="Z141" s="50">
        <v>0</v>
      </c>
      <c r="AA141" s="72">
        <v>141</v>
      </c>
      <c r="AB141" s="72"/>
      <c r="AC141" s="73"/>
      <c r="AD141" s="89" t="s">
        <v>1613</v>
      </c>
      <c r="AE141" s="102" t="s">
        <v>1863</v>
      </c>
      <c r="AF141" s="89">
        <v>4248</v>
      </c>
      <c r="AG141" s="89">
        <v>2879</v>
      </c>
      <c r="AH141" s="89">
        <v>15960</v>
      </c>
      <c r="AI141" s="89">
        <v>663</v>
      </c>
      <c r="AJ141" s="89"/>
      <c r="AK141" s="89" t="s">
        <v>2080</v>
      </c>
      <c r="AL141" s="89" t="s">
        <v>2231</v>
      </c>
      <c r="AM141" s="95" t="str">
        <f>HYPERLINK("https://t.co/BKxiJShaJX")</f>
        <v>https://t.co/BKxiJShaJX</v>
      </c>
      <c r="AN141" s="89"/>
      <c r="AO141" s="92">
        <v>40463.48028935185</v>
      </c>
      <c r="AP141" s="95" t="str">
        <f>HYPERLINK("https://pbs.twimg.com/profile_banners/201677623/1629031276")</f>
        <v>https://pbs.twimg.com/profile_banners/201677623/1629031276</v>
      </c>
      <c r="AQ141" s="89" t="b">
        <v>1</v>
      </c>
      <c r="AR141" s="89" t="b">
        <v>0</v>
      </c>
      <c r="AS141" s="89" t="b">
        <v>0</v>
      </c>
      <c r="AT141" s="89"/>
      <c r="AU141" s="89">
        <v>27</v>
      </c>
      <c r="AV141" s="95" t="str">
        <f>HYPERLINK("https://abs.twimg.com/images/themes/theme1/bg.png")</f>
        <v>https://abs.twimg.com/images/themes/theme1/bg.png</v>
      </c>
      <c r="AW141" s="89" t="b">
        <v>0</v>
      </c>
      <c r="AX141" s="89" t="s">
        <v>2300</v>
      </c>
      <c r="AY141" s="95" t="str">
        <f>HYPERLINK("https://twitter.com/johanbek")</f>
        <v>https://twitter.com/johanbek</v>
      </c>
      <c r="AZ141" s="89" t="s">
        <v>65</v>
      </c>
      <c r="BA141" s="89"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441</v>
      </c>
      <c r="B142" s="66"/>
      <c r="C142" s="66" t="s">
        <v>46</v>
      </c>
      <c r="D142" s="67">
        <v>10</v>
      </c>
      <c r="E142" s="69"/>
      <c r="F142" s="111" t="str">
        <f>HYPERLINK("https://pbs.twimg.com/profile_images/1443492631871434754/j0A0-LOw_normal.jpg")</f>
        <v>https://pbs.twimg.com/profile_images/1443492631871434754/j0A0-LOw_normal.jpg</v>
      </c>
      <c r="G142" s="66"/>
      <c r="H142" s="70" t="s">
        <v>441</v>
      </c>
      <c r="I142" s="71" t="s">
        <v>5820</v>
      </c>
      <c r="J142" s="71" t="s">
        <v>75</v>
      </c>
      <c r="K142" s="70" t="s">
        <v>2439</v>
      </c>
      <c r="L142" s="74">
        <v>477.0952380952381</v>
      </c>
      <c r="M142" s="75">
        <v>4715.71630859375</v>
      </c>
      <c r="N142" s="75">
        <v>5783.5244140625</v>
      </c>
      <c r="O142" s="76"/>
      <c r="P142" s="77"/>
      <c r="Q142" s="77"/>
      <c r="R142" s="104"/>
      <c r="S142" s="49">
        <v>1</v>
      </c>
      <c r="T142" s="49">
        <v>0</v>
      </c>
      <c r="U142" s="50">
        <v>0</v>
      </c>
      <c r="V142" s="50">
        <v>0.000784</v>
      </c>
      <c r="W142" s="50">
        <v>0.000331</v>
      </c>
      <c r="X142" s="50">
        <v>0.479823</v>
      </c>
      <c r="Y142" s="50">
        <v>0</v>
      </c>
      <c r="Z142" s="50">
        <v>0</v>
      </c>
      <c r="AA142" s="72">
        <v>142</v>
      </c>
      <c r="AB142" s="72"/>
      <c r="AC142" s="73"/>
      <c r="AD142" s="89" t="s">
        <v>1614</v>
      </c>
      <c r="AE142" s="102" t="s">
        <v>1864</v>
      </c>
      <c r="AF142" s="89">
        <v>313</v>
      </c>
      <c r="AG142" s="89">
        <v>2988</v>
      </c>
      <c r="AH142" s="89">
        <v>11854</v>
      </c>
      <c r="AI142" s="89">
        <v>8962</v>
      </c>
      <c r="AJ142" s="89"/>
      <c r="AK142" s="89"/>
      <c r="AL142" s="89"/>
      <c r="AM142" s="95" t="str">
        <f>HYPERLINK("https://t.co/AeJRUngRjw")</f>
        <v>https://t.co/AeJRUngRjw</v>
      </c>
      <c r="AN142" s="89"/>
      <c r="AO142" s="92">
        <v>43143.23332175926</v>
      </c>
      <c r="AP142" s="95" t="str">
        <f>HYPERLINK("https://pbs.twimg.com/profile_banners/962923216300896256/1603656671")</f>
        <v>https://pbs.twimg.com/profile_banners/962923216300896256/1603656671</v>
      </c>
      <c r="AQ142" s="89" t="b">
        <v>1</v>
      </c>
      <c r="AR142" s="89" t="b">
        <v>0</v>
      </c>
      <c r="AS142" s="89" t="b">
        <v>0</v>
      </c>
      <c r="AT142" s="89"/>
      <c r="AU142" s="89">
        <v>7</v>
      </c>
      <c r="AV142" s="89"/>
      <c r="AW142" s="89" t="b">
        <v>0</v>
      </c>
      <c r="AX142" s="89" t="s">
        <v>2300</v>
      </c>
      <c r="AY142" s="95" t="str">
        <f>HYPERLINK("https://twitter.com/juha_korh2")</f>
        <v>https://twitter.com/juha_korh2</v>
      </c>
      <c r="AZ142" s="89" t="s">
        <v>65</v>
      </c>
      <c r="BA142" s="89"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442</v>
      </c>
      <c r="B143" s="66"/>
      <c r="C143" s="66" t="s">
        <v>46</v>
      </c>
      <c r="D143" s="67">
        <v>10</v>
      </c>
      <c r="E143" s="69"/>
      <c r="F143" s="111" t="str">
        <f>HYPERLINK("https://pbs.twimg.com/profile_images/1459635548893683717/-2yMCVJL_normal.jpg")</f>
        <v>https://pbs.twimg.com/profile_images/1459635548893683717/-2yMCVJL_normal.jpg</v>
      </c>
      <c r="G143" s="66"/>
      <c r="H143" s="70" t="s">
        <v>442</v>
      </c>
      <c r="I143" s="71" t="s">
        <v>5820</v>
      </c>
      <c r="J143" s="71" t="s">
        <v>75</v>
      </c>
      <c r="K143" s="70" t="s">
        <v>2440</v>
      </c>
      <c r="L143" s="74">
        <v>477.0952380952381</v>
      </c>
      <c r="M143" s="75">
        <v>4408.6728515625</v>
      </c>
      <c r="N143" s="75">
        <v>7251.9951171875</v>
      </c>
      <c r="O143" s="76"/>
      <c r="P143" s="77"/>
      <c r="Q143" s="77"/>
      <c r="R143" s="104"/>
      <c r="S143" s="49">
        <v>1</v>
      </c>
      <c r="T143" s="49">
        <v>0</v>
      </c>
      <c r="U143" s="50">
        <v>0</v>
      </c>
      <c r="V143" s="50">
        <v>0.000784</v>
      </c>
      <c r="W143" s="50">
        <v>0.000331</v>
      </c>
      <c r="X143" s="50">
        <v>0.479823</v>
      </c>
      <c r="Y143" s="50">
        <v>0</v>
      </c>
      <c r="Z143" s="50">
        <v>0</v>
      </c>
      <c r="AA143" s="72">
        <v>143</v>
      </c>
      <c r="AB143" s="72"/>
      <c r="AC143" s="73"/>
      <c r="AD143" s="89" t="s">
        <v>1615</v>
      </c>
      <c r="AE143" s="102" t="s">
        <v>1865</v>
      </c>
      <c r="AF143" s="89">
        <v>26</v>
      </c>
      <c r="AG143" s="89">
        <v>5396</v>
      </c>
      <c r="AH143" s="89">
        <v>3949</v>
      </c>
      <c r="AI143" s="89">
        <v>1307</v>
      </c>
      <c r="AJ143" s="89"/>
      <c r="AK143" s="89" t="s">
        <v>2081</v>
      </c>
      <c r="AL143" s="89" t="s">
        <v>2229</v>
      </c>
      <c r="AM143" s="95" t="str">
        <f>HYPERLINK("https://t.co/iWF2c2b9Tb")</f>
        <v>https://t.co/iWF2c2b9Tb</v>
      </c>
      <c r="AN143" s="89"/>
      <c r="AO143" s="92">
        <v>40410.33988425926</v>
      </c>
      <c r="AP143" s="95" t="str">
        <f>HYPERLINK("https://pbs.twimg.com/profile_banners/180709194/1636838993")</f>
        <v>https://pbs.twimg.com/profile_banners/180709194/1636838993</v>
      </c>
      <c r="AQ143" s="89" t="b">
        <v>1</v>
      </c>
      <c r="AR143" s="89" t="b">
        <v>0</v>
      </c>
      <c r="AS143" s="89" t="b">
        <v>0</v>
      </c>
      <c r="AT143" s="89"/>
      <c r="AU143" s="89">
        <v>14</v>
      </c>
      <c r="AV143" s="95" t="str">
        <f>HYPERLINK("https://abs.twimg.com/images/themes/theme1/bg.png")</f>
        <v>https://abs.twimg.com/images/themes/theme1/bg.png</v>
      </c>
      <c r="AW143" s="89" t="b">
        <v>0</v>
      </c>
      <c r="AX143" s="89" t="s">
        <v>2300</v>
      </c>
      <c r="AY143" s="95" t="str">
        <f>HYPERLINK("https://twitter.com/reaverteknogods")</f>
        <v>https://twitter.com/reaverteknogods</v>
      </c>
      <c r="AZ143" s="89" t="s">
        <v>65</v>
      </c>
      <c r="BA143" s="89"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443</v>
      </c>
      <c r="B144" s="66"/>
      <c r="C144" s="66" t="s">
        <v>46</v>
      </c>
      <c r="D144" s="67">
        <v>10</v>
      </c>
      <c r="E144" s="69"/>
      <c r="F144" s="111" t="str">
        <f>HYPERLINK("https://pbs.twimg.com/profile_images/552561342968655872/nkqZM4FH_normal.jpeg")</f>
        <v>https://pbs.twimg.com/profile_images/552561342968655872/nkqZM4FH_normal.jpeg</v>
      </c>
      <c r="G144" s="66"/>
      <c r="H144" s="70" t="s">
        <v>443</v>
      </c>
      <c r="I144" s="71" t="s">
        <v>5820</v>
      </c>
      <c r="J144" s="71" t="s">
        <v>75</v>
      </c>
      <c r="K144" s="70" t="s">
        <v>2441</v>
      </c>
      <c r="L144" s="74">
        <v>477.0952380952381</v>
      </c>
      <c r="M144" s="75">
        <v>4469.53271484375</v>
      </c>
      <c r="N144" s="75">
        <v>5483.43115234375</v>
      </c>
      <c r="O144" s="76"/>
      <c r="P144" s="77"/>
      <c r="Q144" s="77"/>
      <c r="R144" s="104"/>
      <c r="S144" s="49">
        <v>1</v>
      </c>
      <c r="T144" s="49">
        <v>0</v>
      </c>
      <c r="U144" s="50">
        <v>0</v>
      </c>
      <c r="V144" s="50">
        <v>0.000784</v>
      </c>
      <c r="W144" s="50">
        <v>0.000331</v>
      </c>
      <c r="X144" s="50">
        <v>0.479823</v>
      </c>
      <c r="Y144" s="50">
        <v>0</v>
      </c>
      <c r="Z144" s="50">
        <v>0</v>
      </c>
      <c r="AA144" s="72">
        <v>144</v>
      </c>
      <c r="AB144" s="72"/>
      <c r="AC144" s="73"/>
      <c r="AD144" s="89" t="s">
        <v>1616</v>
      </c>
      <c r="AE144" s="102" t="s">
        <v>1866</v>
      </c>
      <c r="AF144" s="89">
        <v>1016</v>
      </c>
      <c r="AG144" s="89">
        <v>2475</v>
      </c>
      <c r="AH144" s="89">
        <v>1070</v>
      </c>
      <c r="AI144" s="89">
        <v>1244</v>
      </c>
      <c r="AJ144" s="89"/>
      <c r="AK144" s="89" t="s">
        <v>2082</v>
      </c>
      <c r="AL144" s="89" t="s">
        <v>2258</v>
      </c>
      <c r="AM144" s="95" t="str">
        <f>HYPERLINK("https://t.co/jh1np2RI6a")</f>
        <v>https://t.co/jh1np2RI6a</v>
      </c>
      <c r="AN144" s="89"/>
      <c r="AO144" s="92">
        <v>39923.89177083333</v>
      </c>
      <c r="AP144" s="95" t="str">
        <f>HYPERLINK("https://pbs.twimg.com/profile_banners/33669520/1447524043")</f>
        <v>https://pbs.twimg.com/profile_banners/33669520/1447524043</v>
      </c>
      <c r="AQ144" s="89" t="b">
        <v>0</v>
      </c>
      <c r="AR144" s="89" t="b">
        <v>0</v>
      </c>
      <c r="AS144" s="89" t="b">
        <v>0</v>
      </c>
      <c r="AT144" s="89"/>
      <c r="AU144" s="89">
        <v>17</v>
      </c>
      <c r="AV144" s="95" t="str">
        <f>HYPERLINK("https://abs.twimg.com/images/themes/theme1/bg.png")</f>
        <v>https://abs.twimg.com/images/themes/theme1/bg.png</v>
      </c>
      <c r="AW144" s="89" t="b">
        <v>0</v>
      </c>
      <c r="AX144" s="89" t="s">
        <v>2300</v>
      </c>
      <c r="AY144" s="95" t="str">
        <f>HYPERLINK("https://twitter.com/ikenovikoff")</f>
        <v>https://twitter.com/ikenovikoff</v>
      </c>
      <c r="AZ144" s="89" t="s">
        <v>65</v>
      </c>
      <c r="BA144" s="89"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444</v>
      </c>
      <c r="B145" s="66"/>
      <c r="C145" s="66" t="s">
        <v>46</v>
      </c>
      <c r="D145" s="67">
        <v>10</v>
      </c>
      <c r="E145" s="69"/>
      <c r="F145" s="111" t="str">
        <f>HYPERLINK("https://pbs.twimg.com/profile_images/1242425498258587649/iYpRm-py_normal.jpg")</f>
        <v>https://pbs.twimg.com/profile_images/1242425498258587649/iYpRm-py_normal.jpg</v>
      </c>
      <c r="G145" s="66"/>
      <c r="H145" s="70" t="s">
        <v>444</v>
      </c>
      <c r="I145" s="71" t="s">
        <v>5820</v>
      </c>
      <c r="J145" s="71" t="s">
        <v>75</v>
      </c>
      <c r="K145" s="70" t="s">
        <v>2442</v>
      </c>
      <c r="L145" s="74">
        <v>477.0952380952381</v>
      </c>
      <c r="M145" s="75">
        <v>4579.3642578125</v>
      </c>
      <c r="N145" s="75">
        <v>5748.27685546875</v>
      </c>
      <c r="O145" s="76"/>
      <c r="P145" s="77"/>
      <c r="Q145" s="77"/>
      <c r="R145" s="104"/>
      <c r="S145" s="49">
        <v>1</v>
      </c>
      <c r="T145" s="49">
        <v>0</v>
      </c>
      <c r="U145" s="50">
        <v>0</v>
      </c>
      <c r="V145" s="50">
        <v>0.000784</v>
      </c>
      <c r="W145" s="50">
        <v>0.000331</v>
      </c>
      <c r="X145" s="50">
        <v>0.479823</v>
      </c>
      <c r="Y145" s="50">
        <v>0</v>
      </c>
      <c r="Z145" s="50">
        <v>0</v>
      </c>
      <c r="AA145" s="72">
        <v>145</v>
      </c>
      <c r="AB145" s="72"/>
      <c r="AC145" s="73"/>
      <c r="AD145" s="89" t="s">
        <v>1617</v>
      </c>
      <c r="AE145" s="102" t="s">
        <v>1867</v>
      </c>
      <c r="AF145" s="89">
        <v>834</v>
      </c>
      <c r="AG145" s="89">
        <v>32996</v>
      </c>
      <c r="AH145" s="89">
        <v>20058</v>
      </c>
      <c r="AI145" s="89">
        <v>32474</v>
      </c>
      <c r="AJ145" s="89"/>
      <c r="AK145" s="89" t="s">
        <v>2083</v>
      </c>
      <c r="AL145" s="89"/>
      <c r="AM145" s="95" t="str">
        <f>HYPERLINK("https://t.co/rpNNN5wcq9")</f>
        <v>https://t.co/rpNNN5wcq9</v>
      </c>
      <c r="AN145" s="89"/>
      <c r="AO145" s="92">
        <v>41474.767430555556</v>
      </c>
      <c r="AP145" s="95" t="str">
        <f>HYPERLINK("https://pbs.twimg.com/profile_banners/1606473660/1552577317")</f>
        <v>https://pbs.twimg.com/profile_banners/1606473660/1552577317</v>
      </c>
      <c r="AQ145" s="89" t="b">
        <v>1</v>
      </c>
      <c r="AR145" s="89" t="b">
        <v>0</v>
      </c>
      <c r="AS145" s="89" t="b">
        <v>0</v>
      </c>
      <c r="AT145" s="89"/>
      <c r="AU145" s="89">
        <v>147</v>
      </c>
      <c r="AV145" s="95" t="str">
        <f>HYPERLINK("https://abs.twimg.com/images/themes/theme1/bg.png")</f>
        <v>https://abs.twimg.com/images/themes/theme1/bg.png</v>
      </c>
      <c r="AW145" s="89" t="b">
        <v>0</v>
      </c>
      <c r="AX145" s="89" t="s">
        <v>2300</v>
      </c>
      <c r="AY145" s="95" t="str">
        <f>HYPERLINK("https://twitter.com/laurahuhtasaari")</f>
        <v>https://twitter.com/laurahuhtasaari</v>
      </c>
      <c r="AZ145" s="89" t="s">
        <v>65</v>
      </c>
      <c r="BA145" s="89"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445</v>
      </c>
      <c r="B146" s="66"/>
      <c r="C146" s="66" t="s">
        <v>46</v>
      </c>
      <c r="D146" s="67">
        <v>10</v>
      </c>
      <c r="E146" s="69"/>
      <c r="F146" s="111" t="str">
        <f>HYPERLINK("https://pbs.twimg.com/profile_images/1462451126201159690/TntvocTO_normal.jpg")</f>
        <v>https://pbs.twimg.com/profile_images/1462451126201159690/TntvocTO_normal.jpg</v>
      </c>
      <c r="G146" s="66"/>
      <c r="H146" s="70" t="s">
        <v>445</v>
      </c>
      <c r="I146" s="71" t="s">
        <v>5820</v>
      </c>
      <c r="J146" s="71" t="s">
        <v>75</v>
      </c>
      <c r="K146" s="70" t="s">
        <v>2443</v>
      </c>
      <c r="L146" s="74">
        <v>477.0952380952381</v>
      </c>
      <c r="M146" s="75">
        <v>4751.39306640625</v>
      </c>
      <c r="N146" s="75">
        <v>6243.634765625</v>
      </c>
      <c r="O146" s="76"/>
      <c r="P146" s="77"/>
      <c r="Q146" s="77"/>
      <c r="R146" s="104"/>
      <c r="S146" s="49">
        <v>1</v>
      </c>
      <c r="T146" s="49">
        <v>0</v>
      </c>
      <c r="U146" s="50">
        <v>0</v>
      </c>
      <c r="V146" s="50">
        <v>0.000784</v>
      </c>
      <c r="W146" s="50">
        <v>0.000331</v>
      </c>
      <c r="X146" s="50">
        <v>0.479823</v>
      </c>
      <c r="Y146" s="50">
        <v>0</v>
      </c>
      <c r="Z146" s="50">
        <v>0</v>
      </c>
      <c r="AA146" s="72">
        <v>146</v>
      </c>
      <c r="AB146" s="72"/>
      <c r="AC146" s="73"/>
      <c r="AD146" s="89" t="s">
        <v>1618</v>
      </c>
      <c r="AE146" s="102" t="s">
        <v>1868</v>
      </c>
      <c r="AF146" s="89">
        <v>769</v>
      </c>
      <c r="AG146" s="89">
        <v>7507</v>
      </c>
      <c r="AH146" s="89">
        <v>9156</v>
      </c>
      <c r="AI146" s="89">
        <v>39150</v>
      </c>
      <c r="AJ146" s="89"/>
      <c r="AK146" s="89" t="s">
        <v>2084</v>
      </c>
      <c r="AL146" s="89" t="s">
        <v>2259</v>
      </c>
      <c r="AM146" s="95" t="str">
        <f>HYPERLINK("https://t.co/5GhNApodjo")</f>
        <v>https://t.co/5GhNApodjo</v>
      </c>
      <c r="AN146" s="89"/>
      <c r="AO146" s="92">
        <v>43500.64494212963</v>
      </c>
      <c r="AP146" s="95" t="str">
        <f>HYPERLINK("https://pbs.twimg.com/profile_banners/1092444849406652421/1585845342")</f>
        <v>https://pbs.twimg.com/profile_banners/1092444849406652421/1585845342</v>
      </c>
      <c r="AQ146" s="89" t="b">
        <v>1</v>
      </c>
      <c r="AR146" s="89" t="b">
        <v>0</v>
      </c>
      <c r="AS146" s="89" t="b">
        <v>0</v>
      </c>
      <c r="AT146" s="89"/>
      <c r="AU146" s="89">
        <v>9</v>
      </c>
      <c r="AV146" s="89"/>
      <c r="AW146" s="89" t="b">
        <v>0</v>
      </c>
      <c r="AX146" s="89" t="s">
        <v>2300</v>
      </c>
      <c r="AY146" s="95" t="str">
        <f>HYPERLINK("https://twitter.com/huhtasaarisaara")</f>
        <v>https://twitter.com/huhtasaarisaara</v>
      </c>
      <c r="AZ146" s="89" t="s">
        <v>65</v>
      </c>
      <c r="BA146" s="89"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446</v>
      </c>
      <c r="B147" s="66"/>
      <c r="C147" s="66" t="s">
        <v>46</v>
      </c>
      <c r="D147" s="67">
        <v>10</v>
      </c>
      <c r="E147" s="69"/>
      <c r="F147" s="111" t="str">
        <f>HYPERLINK("https://pbs.twimg.com/profile_images/967730256076525568/FCMZtuxM_normal.jpg")</f>
        <v>https://pbs.twimg.com/profile_images/967730256076525568/FCMZtuxM_normal.jpg</v>
      </c>
      <c r="G147" s="66"/>
      <c r="H147" s="70" t="s">
        <v>446</v>
      </c>
      <c r="I147" s="71" t="s">
        <v>5820</v>
      </c>
      <c r="J147" s="71" t="s">
        <v>75</v>
      </c>
      <c r="K147" s="70" t="s">
        <v>2444</v>
      </c>
      <c r="L147" s="74">
        <v>477.0952380952381</v>
      </c>
      <c r="M147" s="75">
        <v>4746.10986328125</v>
      </c>
      <c r="N147" s="75">
        <v>6724.8017578125</v>
      </c>
      <c r="O147" s="76"/>
      <c r="P147" s="77"/>
      <c r="Q147" s="77"/>
      <c r="R147" s="104"/>
      <c r="S147" s="49">
        <v>1</v>
      </c>
      <c r="T147" s="49">
        <v>0</v>
      </c>
      <c r="U147" s="50">
        <v>0</v>
      </c>
      <c r="V147" s="50">
        <v>0.000784</v>
      </c>
      <c r="W147" s="50">
        <v>0.000331</v>
      </c>
      <c r="X147" s="50">
        <v>0.479823</v>
      </c>
      <c r="Y147" s="50">
        <v>0</v>
      </c>
      <c r="Z147" s="50">
        <v>0</v>
      </c>
      <c r="AA147" s="72">
        <v>147</v>
      </c>
      <c r="AB147" s="72"/>
      <c r="AC147" s="73"/>
      <c r="AD147" s="89" t="s">
        <v>1619</v>
      </c>
      <c r="AE147" s="102" t="s">
        <v>1869</v>
      </c>
      <c r="AF147" s="89">
        <v>1719</v>
      </c>
      <c r="AG147" s="89">
        <v>1879</v>
      </c>
      <c r="AH147" s="89">
        <v>92876</v>
      </c>
      <c r="AI147" s="89">
        <v>28222</v>
      </c>
      <c r="AJ147" s="89"/>
      <c r="AK147" s="89" t="s">
        <v>2085</v>
      </c>
      <c r="AL147" s="89"/>
      <c r="AM147" s="95" t="str">
        <f>HYPERLINK("https://t.co/ktdWSSH0XI")</f>
        <v>https://t.co/ktdWSSH0XI</v>
      </c>
      <c r="AN147" s="89"/>
      <c r="AO147" s="92">
        <v>43156.49202546296</v>
      </c>
      <c r="AP147" s="95" t="str">
        <f>HYPERLINK("https://pbs.twimg.com/profile_banners/967728009787727874/1519559636")</f>
        <v>https://pbs.twimg.com/profile_banners/967728009787727874/1519559636</v>
      </c>
      <c r="AQ147" s="89" t="b">
        <v>1</v>
      </c>
      <c r="AR147" s="89" t="b">
        <v>0</v>
      </c>
      <c r="AS147" s="89" t="b">
        <v>0</v>
      </c>
      <c r="AT147" s="89"/>
      <c r="AU147" s="89">
        <v>3</v>
      </c>
      <c r="AV147" s="89"/>
      <c r="AW147" s="89" t="b">
        <v>0</v>
      </c>
      <c r="AX147" s="89" t="s">
        <v>2300</v>
      </c>
      <c r="AY147" s="95" t="str">
        <f>HYPERLINK("https://twitter.com/kromantikko")</f>
        <v>https://twitter.com/kromantikko</v>
      </c>
      <c r="AZ147" s="89" t="s">
        <v>65</v>
      </c>
      <c r="BA147" s="89"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289</v>
      </c>
      <c r="B148" s="66"/>
      <c r="C148" s="66" t="s">
        <v>46</v>
      </c>
      <c r="D148" s="67">
        <v>10</v>
      </c>
      <c r="E148" s="69"/>
      <c r="F148" s="111" t="str">
        <f>HYPERLINK("https://pbs.twimg.com/profile_images/1396501849671352330/WOhJsvLC_normal.jpg")</f>
        <v>https://pbs.twimg.com/profile_images/1396501849671352330/WOhJsvLC_normal.jpg</v>
      </c>
      <c r="G148" s="66"/>
      <c r="H148" s="70" t="s">
        <v>289</v>
      </c>
      <c r="I148" s="71" t="s">
        <v>5834</v>
      </c>
      <c r="J148" s="71" t="s">
        <v>73</v>
      </c>
      <c r="K148" s="70" t="s">
        <v>2445</v>
      </c>
      <c r="L148" s="74">
        <v>477.0952380952381</v>
      </c>
      <c r="M148" s="75">
        <v>3220.126708984375</v>
      </c>
      <c r="N148" s="75">
        <v>4191.84521484375</v>
      </c>
      <c r="O148" s="76"/>
      <c r="P148" s="77"/>
      <c r="Q148" s="77"/>
      <c r="R148" s="104"/>
      <c r="S148" s="49">
        <v>1</v>
      </c>
      <c r="T148" s="49">
        <v>5</v>
      </c>
      <c r="U148" s="50">
        <v>2405.932093</v>
      </c>
      <c r="V148" s="50">
        <v>0.000929</v>
      </c>
      <c r="W148" s="50">
        <v>0.007756</v>
      </c>
      <c r="X148" s="50">
        <v>1.429021</v>
      </c>
      <c r="Y148" s="50">
        <v>0.13333333333333333</v>
      </c>
      <c r="Z148" s="50">
        <v>0</v>
      </c>
      <c r="AA148" s="72">
        <v>148</v>
      </c>
      <c r="AB148" s="72"/>
      <c r="AC148" s="73"/>
      <c r="AD148" s="89" t="s">
        <v>1620</v>
      </c>
      <c r="AE148" s="102" t="s">
        <v>1870</v>
      </c>
      <c r="AF148" s="89">
        <v>885</v>
      </c>
      <c r="AG148" s="89">
        <v>4279</v>
      </c>
      <c r="AH148" s="89">
        <v>131295</v>
      </c>
      <c r="AI148" s="89">
        <v>110830</v>
      </c>
      <c r="AJ148" s="89"/>
      <c r="AK148" s="89" t="s">
        <v>2086</v>
      </c>
      <c r="AL148" s="89"/>
      <c r="AM148" s="95" t="str">
        <f>HYPERLINK("https://t.co/bQnXdaVSvd")</f>
        <v>https://t.co/bQnXdaVSvd</v>
      </c>
      <c r="AN148" s="89"/>
      <c r="AO148" s="92">
        <v>42701.413935185185</v>
      </c>
      <c r="AP148" s="95" t="str">
        <f>HYPERLINK("https://pbs.twimg.com/profile_banners/802813232515837952/1629917305")</f>
        <v>https://pbs.twimg.com/profile_banners/802813232515837952/1629917305</v>
      </c>
      <c r="AQ148" s="89" t="b">
        <v>1</v>
      </c>
      <c r="AR148" s="89" t="b">
        <v>0</v>
      </c>
      <c r="AS148" s="89" t="b">
        <v>1</v>
      </c>
      <c r="AT148" s="89"/>
      <c r="AU148" s="89">
        <v>12</v>
      </c>
      <c r="AV148" s="89"/>
      <c r="AW148" s="89" t="b">
        <v>0</v>
      </c>
      <c r="AX148" s="89" t="s">
        <v>2300</v>
      </c>
      <c r="AY148" s="95" t="str">
        <f>HYPERLINK("https://twitter.com/huuhtanenpanu")</f>
        <v>https://twitter.com/huuhtanenpanu</v>
      </c>
      <c r="AZ148" s="89" t="s">
        <v>66</v>
      </c>
      <c r="BA148" s="89" t="str">
        <f>REPLACE(INDEX(GroupVertices[Group],MATCH(Vertices[[#This Row],[Vertex]],GroupVertices[Vertex],0)),1,1,"")</f>
        <v>3</v>
      </c>
      <c r="BB148" s="49">
        <v>0</v>
      </c>
      <c r="BC148" s="50">
        <v>0</v>
      </c>
      <c r="BD148" s="49">
        <v>1</v>
      </c>
      <c r="BE148" s="50">
        <v>3.7037037037037037</v>
      </c>
      <c r="BF148" s="49">
        <v>0</v>
      </c>
      <c r="BG148" s="50">
        <v>0</v>
      </c>
      <c r="BH148" s="49">
        <v>26</v>
      </c>
      <c r="BI148" s="50">
        <v>96.29629629629629</v>
      </c>
      <c r="BJ148" s="49">
        <v>27</v>
      </c>
      <c r="BK148" s="49"/>
      <c r="BL148" s="49"/>
      <c r="BM148" s="49"/>
      <c r="BN148" s="49"/>
      <c r="BO148" s="49"/>
      <c r="BP148" s="49"/>
      <c r="BQ148" s="123" t="s">
        <v>5592</v>
      </c>
      <c r="BR148" s="123" t="s">
        <v>5592</v>
      </c>
      <c r="BS148" s="123" t="s">
        <v>5744</v>
      </c>
      <c r="BT148" s="123" t="s">
        <v>5744</v>
      </c>
      <c r="BU148" s="2"/>
      <c r="BV148" s="3"/>
      <c r="BW148" s="3"/>
      <c r="BX148" s="3"/>
      <c r="BY148" s="3"/>
    </row>
    <row r="149" spans="1:77" ht="15">
      <c r="A149" s="65" t="s">
        <v>447</v>
      </c>
      <c r="B149" s="66"/>
      <c r="C149" s="66" t="s">
        <v>64</v>
      </c>
      <c r="D149" s="67">
        <v>775.9685583243923</v>
      </c>
      <c r="E149" s="69"/>
      <c r="F149" s="111" t="str">
        <f>HYPERLINK("https://pbs.twimg.com/profile_images/456755395285884928/jh450aKk_normal.png")</f>
        <v>https://pbs.twimg.com/profile_images/456755395285884928/jh450aKk_normal.png</v>
      </c>
      <c r="G149" s="66"/>
      <c r="H149" s="70" t="s">
        <v>447</v>
      </c>
      <c r="I149" s="71" t="s">
        <v>5834</v>
      </c>
      <c r="J149" s="71" t="s">
        <v>75</v>
      </c>
      <c r="K149" s="70" t="s">
        <v>2446</v>
      </c>
      <c r="L149" s="74">
        <v>1905.3809523809523</v>
      </c>
      <c r="M149" s="75">
        <v>3408.83203125</v>
      </c>
      <c r="N149" s="75">
        <v>4245.80224609375</v>
      </c>
      <c r="O149" s="76"/>
      <c r="P149" s="77"/>
      <c r="Q149" s="77"/>
      <c r="R149" s="104"/>
      <c r="S149" s="49">
        <v>4</v>
      </c>
      <c r="T149" s="49">
        <v>0</v>
      </c>
      <c r="U149" s="50">
        <v>172.932189</v>
      </c>
      <c r="V149" s="50">
        <v>0.000894</v>
      </c>
      <c r="W149" s="50">
        <v>0.011722</v>
      </c>
      <c r="X149" s="50">
        <v>0.892689</v>
      </c>
      <c r="Y149" s="50">
        <v>0.25</v>
      </c>
      <c r="Z149" s="50">
        <v>0</v>
      </c>
      <c r="AA149" s="72">
        <v>149</v>
      </c>
      <c r="AB149" s="72"/>
      <c r="AC149" s="73"/>
      <c r="AD149" s="89" t="s">
        <v>1621</v>
      </c>
      <c r="AE149" s="102" t="s">
        <v>1871</v>
      </c>
      <c r="AF149" s="89">
        <v>474</v>
      </c>
      <c r="AG149" s="89">
        <v>6760</v>
      </c>
      <c r="AH149" s="89">
        <v>2834</v>
      </c>
      <c r="AI149" s="89">
        <v>312</v>
      </c>
      <c r="AJ149" s="89"/>
      <c r="AK149" s="89" t="s">
        <v>2087</v>
      </c>
      <c r="AL149" s="89"/>
      <c r="AM149" s="95" t="str">
        <f>HYPERLINK("http://t.co/WYM5UTAqcw")</f>
        <v>http://t.co/WYM5UTAqcw</v>
      </c>
      <c r="AN149" s="89"/>
      <c r="AO149" s="92">
        <v>41051.393900462965</v>
      </c>
      <c r="AP149" s="95" t="str">
        <f>HYPERLINK("https://pbs.twimg.com/profile_banners/587285390/1584533731")</f>
        <v>https://pbs.twimg.com/profile_banners/587285390/1584533731</v>
      </c>
      <c r="AQ149" s="89" t="b">
        <v>0</v>
      </c>
      <c r="AR149" s="89" t="b">
        <v>0</v>
      </c>
      <c r="AS149" s="89" t="b">
        <v>0</v>
      </c>
      <c r="AT149" s="89"/>
      <c r="AU149" s="89">
        <v>50</v>
      </c>
      <c r="AV149" s="95" t="str">
        <f>HYPERLINK("https://abs.twimg.com/images/themes/theme1/bg.png")</f>
        <v>https://abs.twimg.com/images/themes/theme1/bg.png</v>
      </c>
      <c r="AW149" s="89" t="b">
        <v>0</v>
      </c>
      <c r="AX149" s="89" t="s">
        <v>2300</v>
      </c>
      <c r="AY149" s="95" t="str">
        <f>HYPERLINK("https://twitter.com/fimea")</f>
        <v>https://twitter.com/fimea</v>
      </c>
      <c r="AZ149" s="89" t="s">
        <v>65</v>
      </c>
      <c r="BA149" s="89"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448</v>
      </c>
      <c r="B150" s="66"/>
      <c r="C150" s="66" t="s">
        <v>64</v>
      </c>
      <c r="D150" s="67">
        <v>899.2619576868879</v>
      </c>
      <c r="E150" s="69"/>
      <c r="F150" s="111" t="str">
        <f>HYPERLINK("https://pbs.twimg.com/profile_images/1166219035006177280/Uc63t8ps_normal.jpg")</f>
        <v>https://pbs.twimg.com/profile_images/1166219035006177280/Uc63t8ps_normal.jpg</v>
      </c>
      <c r="G150" s="66"/>
      <c r="H150" s="70" t="s">
        <v>448</v>
      </c>
      <c r="I150" s="71" t="s">
        <v>5834</v>
      </c>
      <c r="J150" s="71" t="s">
        <v>75</v>
      </c>
      <c r="K150" s="70" t="s">
        <v>2447</v>
      </c>
      <c r="L150" s="74">
        <v>2381.4761904761904</v>
      </c>
      <c r="M150" s="75">
        <v>3317.067138671875</v>
      </c>
      <c r="N150" s="75">
        <v>3716.53564453125</v>
      </c>
      <c r="O150" s="76"/>
      <c r="P150" s="77"/>
      <c r="Q150" s="77"/>
      <c r="R150" s="104"/>
      <c r="S150" s="49">
        <v>5</v>
      </c>
      <c r="T150" s="49">
        <v>0</v>
      </c>
      <c r="U150" s="50">
        <v>237.498856</v>
      </c>
      <c r="V150" s="50">
        <v>0.000895</v>
      </c>
      <c r="W150" s="50">
        <v>0.01247</v>
      </c>
      <c r="X150" s="50">
        <v>1.118416</v>
      </c>
      <c r="Y150" s="50">
        <v>0.2</v>
      </c>
      <c r="Z150" s="50">
        <v>0</v>
      </c>
      <c r="AA150" s="72">
        <v>150</v>
      </c>
      <c r="AB150" s="72"/>
      <c r="AC150" s="73"/>
      <c r="AD150" s="89" t="s">
        <v>1622</v>
      </c>
      <c r="AE150" s="102" t="s">
        <v>1430</v>
      </c>
      <c r="AF150" s="89">
        <v>1552</v>
      </c>
      <c r="AG150" s="89">
        <v>79524</v>
      </c>
      <c r="AH150" s="89">
        <v>31194</v>
      </c>
      <c r="AI150" s="89">
        <v>16163</v>
      </c>
      <c r="AJ150" s="89"/>
      <c r="AK150" s="89" t="s">
        <v>2088</v>
      </c>
      <c r="AL150" s="89" t="s">
        <v>2231</v>
      </c>
      <c r="AM150" s="95" t="str">
        <f>HYPERLINK("http://t.co/qG0VuAs2vE")</f>
        <v>http://t.co/qG0VuAs2vE</v>
      </c>
      <c r="AN150" s="89"/>
      <c r="AO150" s="92">
        <v>40955.322164351855</v>
      </c>
      <c r="AP150" s="95" t="str">
        <f>HYPERLINK("https://pbs.twimg.com/profile_banners/493840009/1586848457")</f>
        <v>https://pbs.twimg.com/profile_banners/493840009/1586848457</v>
      </c>
      <c r="AQ150" s="89" t="b">
        <v>0</v>
      </c>
      <c r="AR150" s="89" t="b">
        <v>0</v>
      </c>
      <c r="AS150" s="89" t="b">
        <v>1</v>
      </c>
      <c r="AT150" s="89"/>
      <c r="AU150" s="89">
        <v>327</v>
      </c>
      <c r="AV150" s="95" t="str">
        <f>HYPERLINK("https://abs.twimg.com/images/themes/theme13/bg.gif")</f>
        <v>https://abs.twimg.com/images/themes/theme13/bg.gif</v>
      </c>
      <c r="AW150" s="89" t="b">
        <v>1</v>
      </c>
      <c r="AX150" s="89" t="s">
        <v>2300</v>
      </c>
      <c r="AY150" s="95" t="str">
        <f>HYPERLINK("https://twitter.com/thlorg")</f>
        <v>https://twitter.com/thlorg</v>
      </c>
      <c r="AZ150" s="89" t="s">
        <v>65</v>
      </c>
      <c r="BA150" s="89"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449</v>
      </c>
      <c r="B151" s="66"/>
      <c r="C151" s="66" t="s">
        <v>64</v>
      </c>
      <c r="D151" s="67">
        <v>775.9685583243923</v>
      </c>
      <c r="E151" s="69"/>
      <c r="F151" s="111" t="str">
        <f>HYPERLINK("https://pbs.twimg.com/profile_images/1411761894461956101/NA6oF7e9_normal.jpg")</f>
        <v>https://pbs.twimg.com/profile_images/1411761894461956101/NA6oF7e9_normal.jpg</v>
      </c>
      <c r="G151" s="66"/>
      <c r="H151" s="70" t="s">
        <v>449</v>
      </c>
      <c r="I151" s="71" t="s">
        <v>5834</v>
      </c>
      <c r="J151" s="71" t="s">
        <v>75</v>
      </c>
      <c r="K151" s="70" t="s">
        <v>2448</v>
      </c>
      <c r="L151" s="74">
        <v>1905.3809523809523</v>
      </c>
      <c r="M151" s="75">
        <v>3536.298583984375</v>
      </c>
      <c r="N151" s="75">
        <v>4236.05908203125</v>
      </c>
      <c r="O151" s="76"/>
      <c r="P151" s="77"/>
      <c r="Q151" s="77"/>
      <c r="R151" s="104"/>
      <c r="S151" s="49">
        <v>4</v>
      </c>
      <c r="T151" s="49">
        <v>0</v>
      </c>
      <c r="U151" s="50">
        <v>172.932189</v>
      </c>
      <c r="V151" s="50">
        <v>0.000894</v>
      </c>
      <c r="W151" s="50">
        <v>0.011722</v>
      </c>
      <c r="X151" s="50">
        <v>0.892689</v>
      </c>
      <c r="Y151" s="50">
        <v>0.25</v>
      </c>
      <c r="Z151" s="50">
        <v>0</v>
      </c>
      <c r="AA151" s="72">
        <v>151</v>
      </c>
      <c r="AB151" s="72"/>
      <c r="AC151" s="73"/>
      <c r="AD151" s="89" t="s">
        <v>1623</v>
      </c>
      <c r="AE151" s="102" t="s">
        <v>1872</v>
      </c>
      <c r="AF151" s="89">
        <v>193</v>
      </c>
      <c r="AG151" s="89">
        <v>14472</v>
      </c>
      <c r="AH151" s="89">
        <v>3245</v>
      </c>
      <c r="AI151" s="89">
        <v>948</v>
      </c>
      <c r="AJ151" s="89"/>
      <c r="AK151" s="89" t="s">
        <v>2089</v>
      </c>
      <c r="AL151" s="89"/>
      <c r="AM151" s="95" t="str">
        <f>HYPERLINK("http://t.co/UF4jFcMtWl")</f>
        <v>http://t.co/UF4jFcMtWl</v>
      </c>
      <c r="AN151" s="89"/>
      <c r="AO151" s="92">
        <v>40478.458819444444</v>
      </c>
      <c r="AP151" s="95" t="str">
        <f>HYPERLINK("https://pbs.twimg.com/profile_banners/208484103/1620220590")</f>
        <v>https://pbs.twimg.com/profile_banners/208484103/1620220590</v>
      </c>
      <c r="AQ151" s="89" t="b">
        <v>0</v>
      </c>
      <c r="AR151" s="89" t="b">
        <v>0</v>
      </c>
      <c r="AS151" s="89" t="b">
        <v>1</v>
      </c>
      <c r="AT151" s="89"/>
      <c r="AU151" s="89">
        <v>89</v>
      </c>
      <c r="AV151" s="95" t="str">
        <f>HYPERLINK("https://abs.twimg.com/images/themes/theme1/bg.png")</f>
        <v>https://abs.twimg.com/images/themes/theme1/bg.png</v>
      </c>
      <c r="AW151" s="89" t="b">
        <v>0</v>
      </c>
      <c r="AX151" s="89" t="s">
        <v>2300</v>
      </c>
      <c r="AY151" s="95" t="str">
        <f>HYPERLINK("https://twitter.com/hus_fi")</f>
        <v>https://twitter.com/hus_fi</v>
      </c>
      <c r="AZ151" s="89" t="s">
        <v>65</v>
      </c>
      <c r="BA151" s="89"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366</v>
      </c>
      <c r="B152" s="66"/>
      <c r="C152" s="66" t="s">
        <v>64</v>
      </c>
      <c r="D152" s="67">
        <v>617.0157208378039</v>
      </c>
      <c r="E152" s="69"/>
      <c r="F152" s="111" t="str">
        <f>HYPERLINK("https://pbs.twimg.com/profile_images/91787962/kf_normal.jpg")</f>
        <v>https://pbs.twimg.com/profile_images/91787962/kf_normal.jpg</v>
      </c>
      <c r="G152" s="66"/>
      <c r="H152" s="70" t="s">
        <v>366</v>
      </c>
      <c r="I152" s="71" t="s">
        <v>5834</v>
      </c>
      <c r="J152" s="71" t="s">
        <v>73</v>
      </c>
      <c r="K152" s="70" t="s">
        <v>2449</v>
      </c>
      <c r="L152" s="74">
        <v>1429.2857142857142</v>
      </c>
      <c r="M152" s="75">
        <v>3425.343017578125</v>
      </c>
      <c r="N152" s="75">
        <v>3778.362060546875</v>
      </c>
      <c r="O152" s="76"/>
      <c r="P152" s="77"/>
      <c r="Q152" s="77"/>
      <c r="R152" s="104"/>
      <c r="S152" s="49">
        <v>3</v>
      </c>
      <c r="T152" s="49">
        <v>4</v>
      </c>
      <c r="U152" s="50">
        <v>188.932189</v>
      </c>
      <c r="V152" s="50">
        <v>0.000907</v>
      </c>
      <c r="W152" s="50">
        <v>0.015524</v>
      </c>
      <c r="X152" s="50">
        <v>1.481979</v>
      </c>
      <c r="Y152" s="50">
        <v>0.2857142857142857</v>
      </c>
      <c r="Z152" s="50">
        <v>0</v>
      </c>
      <c r="AA152" s="72">
        <v>152</v>
      </c>
      <c r="AB152" s="72"/>
      <c r="AC152" s="73"/>
      <c r="AD152" s="89" t="s">
        <v>1624</v>
      </c>
      <c r="AE152" s="102" t="s">
        <v>1427</v>
      </c>
      <c r="AF152" s="89">
        <v>744</v>
      </c>
      <c r="AG152" s="89">
        <v>328</v>
      </c>
      <c r="AH152" s="89">
        <v>5278</v>
      </c>
      <c r="AI152" s="89">
        <v>10701</v>
      </c>
      <c r="AJ152" s="89"/>
      <c r="AK152" s="89" t="s">
        <v>2090</v>
      </c>
      <c r="AL152" s="89" t="s">
        <v>2221</v>
      </c>
      <c r="AM152" s="89"/>
      <c r="AN152" s="89"/>
      <c r="AO152" s="92">
        <v>39882.48547453704</v>
      </c>
      <c r="AP152" s="95" t="str">
        <f>HYPERLINK("https://pbs.twimg.com/profile_banners/23582005/1636002051")</f>
        <v>https://pbs.twimg.com/profile_banners/23582005/1636002051</v>
      </c>
      <c r="AQ152" s="89" t="b">
        <v>0</v>
      </c>
      <c r="AR152" s="89" t="b">
        <v>0</v>
      </c>
      <c r="AS152" s="89" t="b">
        <v>0</v>
      </c>
      <c r="AT152" s="89"/>
      <c r="AU152" s="89">
        <v>1</v>
      </c>
      <c r="AV152" s="95" t="str">
        <f>HYPERLINK("https://abs.twimg.com/images/themes/theme9/bg.gif")</f>
        <v>https://abs.twimg.com/images/themes/theme9/bg.gif</v>
      </c>
      <c r="AW152" s="89" t="b">
        <v>0</v>
      </c>
      <c r="AX152" s="89" t="s">
        <v>2300</v>
      </c>
      <c r="AY152" s="95" t="str">
        <f>HYPERLINK("https://twitter.com/psivonen")</f>
        <v>https://twitter.com/psivonen</v>
      </c>
      <c r="AZ152" s="89" t="s">
        <v>66</v>
      </c>
      <c r="BA152" s="89" t="str">
        <f>REPLACE(INDEX(GroupVertices[Group],MATCH(Vertices[[#This Row],[Vertex]],GroupVertices[Vertex],0)),1,1,"")</f>
        <v>3</v>
      </c>
      <c r="BB152" s="49">
        <v>0</v>
      </c>
      <c r="BC152" s="50">
        <v>0</v>
      </c>
      <c r="BD152" s="49">
        <v>2</v>
      </c>
      <c r="BE152" s="50">
        <v>3.225806451612903</v>
      </c>
      <c r="BF152" s="49">
        <v>0</v>
      </c>
      <c r="BG152" s="50">
        <v>0</v>
      </c>
      <c r="BH152" s="49">
        <v>60</v>
      </c>
      <c r="BI152" s="50">
        <v>96.7741935483871</v>
      </c>
      <c r="BJ152" s="49">
        <v>62</v>
      </c>
      <c r="BK152" s="49" t="s">
        <v>5196</v>
      </c>
      <c r="BL152" s="49" t="s">
        <v>5196</v>
      </c>
      <c r="BM152" s="49" t="s">
        <v>710</v>
      </c>
      <c r="BN152" s="49" t="s">
        <v>710</v>
      </c>
      <c r="BO152" s="49"/>
      <c r="BP152" s="49"/>
      <c r="BQ152" s="123" t="s">
        <v>5593</v>
      </c>
      <c r="BR152" s="123" t="s">
        <v>5671</v>
      </c>
      <c r="BS152" s="123" t="s">
        <v>5745</v>
      </c>
      <c r="BT152" s="123" t="s">
        <v>5809</v>
      </c>
      <c r="BU152" s="2"/>
      <c r="BV152" s="3"/>
      <c r="BW152" s="3"/>
      <c r="BX152" s="3"/>
      <c r="BY152" s="3"/>
    </row>
    <row r="153" spans="1:77" ht="15">
      <c r="A153" s="65" t="s">
        <v>450</v>
      </c>
      <c r="B153" s="66"/>
      <c r="C153" s="66" t="s">
        <v>64</v>
      </c>
      <c r="D153" s="67">
        <v>899.2619576868879</v>
      </c>
      <c r="E153" s="69"/>
      <c r="F153" s="111" t="str">
        <f>HYPERLINK("https://pbs.twimg.com/profile_images/1428050057731969024/7wI5ezoT_normal.jpg")</f>
        <v>https://pbs.twimg.com/profile_images/1428050057731969024/7wI5ezoT_normal.jpg</v>
      </c>
      <c r="G153" s="66"/>
      <c r="H153" s="70" t="s">
        <v>450</v>
      </c>
      <c r="I153" s="71" t="s">
        <v>5834</v>
      </c>
      <c r="J153" s="71" t="s">
        <v>75</v>
      </c>
      <c r="K153" s="70" t="s">
        <v>2450</v>
      </c>
      <c r="L153" s="74">
        <v>2381.4761904761904</v>
      </c>
      <c r="M153" s="75">
        <v>3336.15380859375</v>
      </c>
      <c r="N153" s="75">
        <v>3445.31787109375</v>
      </c>
      <c r="O153" s="76"/>
      <c r="P153" s="77"/>
      <c r="Q153" s="77"/>
      <c r="R153" s="104"/>
      <c r="S153" s="49">
        <v>5</v>
      </c>
      <c r="T153" s="49">
        <v>0</v>
      </c>
      <c r="U153" s="50">
        <v>1819.495249</v>
      </c>
      <c r="V153" s="50">
        <v>0.000989</v>
      </c>
      <c r="W153" s="50">
        <v>0.012192</v>
      </c>
      <c r="X153" s="50">
        <v>1.174826</v>
      </c>
      <c r="Y153" s="50">
        <v>0.15</v>
      </c>
      <c r="Z153" s="50">
        <v>0</v>
      </c>
      <c r="AA153" s="72">
        <v>153</v>
      </c>
      <c r="AB153" s="72"/>
      <c r="AC153" s="73"/>
      <c r="AD153" s="89" t="s">
        <v>1625</v>
      </c>
      <c r="AE153" s="102" t="s">
        <v>1428</v>
      </c>
      <c r="AF153" s="89">
        <v>464</v>
      </c>
      <c r="AG153" s="89">
        <v>12820</v>
      </c>
      <c r="AH153" s="89">
        <v>51478</v>
      </c>
      <c r="AI153" s="89">
        <v>58093</v>
      </c>
      <c r="AJ153" s="89"/>
      <c r="AK153" s="89" t="s">
        <v>2091</v>
      </c>
      <c r="AL153" s="89" t="s">
        <v>2260</v>
      </c>
      <c r="AM153" s="95" t="str">
        <f>HYPERLINK("https://t.co/RP9OBSbjPI")</f>
        <v>https://t.co/RP9OBSbjPI</v>
      </c>
      <c r="AN153" s="89"/>
      <c r="AO153" s="92">
        <v>40950.68570601852</v>
      </c>
      <c r="AP153" s="95" t="str">
        <f>HYPERLINK("https://pbs.twimg.com/profile_banners/489523654/1609518256")</f>
        <v>https://pbs.twimg.com/profile_banners/489523654/1609518256</v>
      </c>
      <c r="AQ153" s="89" t="b">
        <v>1</v>
      </c>
      <c r="AR153" s="89" t="b">
        <v>0</v>
      </c>
      <c r="AS153" s="89" t="b">
        <v>0</v>
      </c>
      <c r="AT153" s="89"/>
      <c r="AU153" s="89">
        <v>53</v>
      </c>
      <c r="AV153" s="95" t="str">
        <f>HYPERLINK("https://abs.twimg.com/images/themes/theme1/bg.png")</f>
        <v>https://abs.twimg.com/images/themes/theme1/bg.png</v>
      </c>
      <c r="AW153" s="89" t="b">
        <v>0</v>
      </c>
      <c r="AX153" s="89" t="s">
        <v>2300</v>
      </c>
      <c r="AY153" s="95" t="str">
        <f>HYPERLINK("https://twitter.com/janimakelafi")</f>
        <v>https://twitter.com/janimakelafi</v>
      </c>
      <c r="AZ153" s="89" t="s">
        <v>65</v>
      </c>
      <c r="BA153" s="89"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451</v>
      </c>
      <c r="B154" s="66"/>
      <c r="C154" s="66" t="s">
        <v>46</v>
      </c>
      <c r="D154" s="67">
        <v>10</v>
      </c>
      <c r="E154" s="69"/>
      <c r="F154" s="111" t="str">
        <f>HYPERLINK("https://pbs.twimg.com/profile_images/1117741002683506689/DaeiM3cu_normal.png")</f>
        <v>https://pbs.twimg.com/profile_images/1117741002683506689/DaeiM3cu_normal.png</v>
      </c>
      <c r="G154" s="66"/>
      <c r="H154" s="70" t="s">
        <v>451</v>
      </c>
      <c r="I154" s="71" t="s">
        <v>5820</v>
      </c>
      <c r="J154" s="71" t="s">
        <v>75</v>
      </c>
      <c r="K154" s="70" t="s">
        <v>2451</v>
      </c>
      <c r="L154" s="74">
        <v>477.0952380952381</v>
      </c>
      <c r="M154" s="75">
        <v>4522.26904296875</v>
      </c>
      <c r="N154" s="75">
        <v>6857.55859375</v>
      </c>
      <c r="O154" s="76"/>
      <c r="P154" s="77"/>
      <c r="Q154" s="77"/>
      <c r="R154" s="104"/>
      <c r="S154" s="49">
        <v>1</v>
      </c>
      <c r="T154" s="49">
        <v>0</v>
      </c>
      <c r="U154" s="50">
        <v>0</v>
      </c>
      <c r="V154" s="50">
        <v>0.000784</v>
      </c>
      <c r="W154" s="50">
        <v>0.000331</v>
      </c>
      <c r="X154" s="50">
        <v>0.479823</v>
      </c>
      <c r="Y154" s="50">
        <v>0</v>
      </c>
      <c r="Z154" s="50">
        <v>0</v>
      </c>
      <c r="AA154" s="72">
        <v>154</v>
      </c>
      <c r="AB154" s="72"/>
      <c r="AC154" s="73"/>
      <c r="AD154" s="89" t="s">
        <v>1626</v>
      </c>
      <c r="AE154" s="102" t="s">
        <v>1378</v>
      </c>
      <c r="AF154" s="89">
        <v>232</v>
      </c>
      <c r="AG154" s="89">
        <v>285</v>
      </c>
      <c r="AH154" s="89">
        <v>6546</v>
      </c>
      <c r="AI154" s="89">
        <v>1296</v>
      </c>
      <c r="AJ154" s="89"/>
      <c r="AK154" s="89" t="s">
        <v>2092</v>
      </c>
      <c r="AL154" s="89" t="s">
        <v>2261</v>
      </c>
      <c r="AM154" s="95" t="str">
        <f>HYPERLINK("https://t.co/dIG3o0KTby")</f>
        <v>https://t.co/dIG3o0KTby</v>
      </c>
      <c r="AN154" s="89"/>
      <c r="AO154" s="92">
        <v>41600.239432870374</v>
      </c>
      <c r="AP154" s="95" t="str">
        <f>HYPERLINK("https://pbs.twimg.com/profile_banners/2208394298/1427538164")</f>
        <v>https://pbs.twimg.com/profile_banners/2208394298/1427538164</v>
      </c>
      <c r="AQ154" s="89" t="b">
        <v>0</v>
      </c>
      <c r="AR154" s="89" t="b">
        <v>0</v>
      </c>
      <c r="AS154" s="89" t="b">
        <v>0</v>
      </c>
      <c r="AT154" s="89"/>
      <c r="AU154" s="89">
        <v>0</v>
      </c>
      <c r="AV154" s="95" t="str">
        <f>HYPERLINK("https://abs.twimg.com/images/themes/theme1/bg.png")</f>
        <v>https://abs.twimg.com/images/themes/theme1/bg.png</v>
      </c>
      <c r="AW154" s="89" t="b">
        <v>0</v>
      </c>
      <c r="AX154" s="89" t="s">
        <v>2300</v>
      </c>
      <c r="AY154" s="95" t="str">
        <f>HYPERLINK("https://twitter.com/hakalaolli")</f>
        <v>https://twitter.com/hakalaolli</v>
      </c>
      <c r="AZ154" s="89" t="s">
        <v>65</v>
      </c>
      <c r="BA154" s="89"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452</v>
      </c>
      <c r="B155" s="66"/>
      <c r="C155" s="66" t="s">
        <v>46</v>
      </c>
      <c r="D155" s="67">
        <v>10</v>
      </c>
      <c r="E155" s="69"/>
      <c r="F155" s="111" t="str">
        <f>HYPERLINK("https://pbs.twimg.com/profile_images/1425788377593487365/87WF-Xqu_normal.jpg")</f>
        <v>https://pbs.twimg.com/profile_images/1425788377593487365/87WF-Xqu_normal.jpg</v>
      </c>
      <c r="G155" s="66"/>
      <c r="H155" s="70" t="s">
        <v>452</v>
      </c>
      <c r="I155" s="71" t="s">
        <v>5820</v>
      </c>
      <c r="J155" s="71" t="s">
        <v>75</v>
      </c>
      <c r="K155" s="70" t="s">
        <v>2452</v>
      </c>
      <c r="L155" s="74">
        <v>477.0952380952381</v>
      </c>
      <c r="M155" s="75">
        <v>4972.90576171875</v>
      </c>
      <c r="N155" s="75">
        <v>6447.82421875</v>
      </c>
      <c r="O155" s="76"/>
      <c r="P155" s="77"/>
      <c r="Q155" s="77"/>
      <c r="R155" s="104"/>
      <c r="S155" s="49">
        <v>1</v>
      </c>
      <c r="T155" s="49">
        <v>0</v>
      </c>
      <c r="U155" s="50">
        <v>0</v>
      </c>
      <c r="V155" s="50">
        <v>0.000784</v>
      </c>
      <c r="W155" s="50">
        <v>0.000331</v>
      </c>
      <c r="X155" s="50">
        <v>0.479823</v>
      </c>
      <c r="Y155" s="50">
        <v>0</v>
      </c>
      <c r="Z155" s="50">
        <v>0</v>
      </c>
      <c r="AA155" s="72">
        <v>155</v>
      </c>
      <c r="AB155" s="72"/>
      <c r="AC155" s="73"/>
      <c r="AD155" s="89" t="s">
        <v>1627</v>
      </c>
      <c r="AE155" s="102" t="s">
        <v>1379</v>
      </c>
      <c r="AF155" s="89">
        <v>3291</v>
      </c>
      <c r="AG155" s="89">
        <v>13712</v>
      </c>
      <c r="AH155" s="89">
        <v>15304</v>
      </c>
      <c r="AI155" s="89">
        <v>12581</v>
      </c>
      <c r="AJ155" s="89"/>
      <c r="AK155" s="89" t="s">
        <v>2093</v>
      </c>
      <c r="AL155" s="89" t="s">
        <v>2231</v>
      </c>
      <c r="AM155" s="95" t="str">
        <f>HYPERLINK("https://t.co/mmskperjtc")</f>
        <v>https://t.co/mmskperjtc</v>
      </c>
      <c r="AN155" s="89"/>
      <c r="AO155" s="92">
        <v>40463.36138888889</v>
      </c>
      <c r="AP155" s="95" t="str">
        <f>HYPERLINK("https://pbs.twimg.com/profile_banners/201634756/1613752595")</f>
        <v>https://pbs.twimg.com/profile_banners/201634756/1613752595</v>
      </c>
      <c r="AQ155" s="89" t="b">
        <v>0</v>
      </c>
      <c r="AR155" s="89" t="b">
        <v>0</v>
      </c>
      <c r="AS155" s="89" t="b">
        <v>0</v>
      </c>
      <c r="AT155" s="89"/>
      <c r="AU155" s="89">
        <v>146</v>
      </c>
      <c r="AV155" s="95" t="str">
        <f>HYPERLINK("https://abs.twimg.com/images/themes/theme4/bg.gif")</f>
        <v>https://abs.twimg.com/images/themes/theme4/bg.gif</v>
      </c>
      <c r="AW155" s="89" t="b">
        <v>0</v>
      </c>
      <c r="AX155" s="89" t="s">
        <v>2300</v>
      </c>
      <c r="AY155" s="95" t="str">
        <f>HYPERLINK("https://twitter.com/sarisarkomaa")</f>
        <v>https://twitter.com/sarisarkomaa</v>
      </c>
      <c r="AZ155" s="89" t="s">
        <v>65</v>
      </c>
      <c r="BA155" s="89"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453</v>
      </c>
      <c r="B156" s="66"/>
      <c r="C156" s="66" t="s">
        <v>46</v>
      </c>
      <c r="D156" s="67">
        <v>10</v>
      </c>
      <c r="E156" s="69"/>
      <c r="F156" s="111" t="str">
        <f>HYPERLINK("https://pbs.twimg.com/profile_images/735550752358293504/_I6N9RkL_normal.jpg")</f>
        <v>https://pbs.twimg.com/profile_images/735550752358293504/_I6N9RkL_normal.jpg</v>
      </c>
      <c r="G156" s="66"/>
      <c r="H156" s="70" t="s">
        <v>453</v>
      </c>
      <c r="I156" s="71" t="s">
        <v>5820</v>
      </c>
      <c r="J156" s="71" t="s">
        <v>75</v>
      </c>
      <c r="K156" s="70" t="s">
        <v>2453</v>
      </c>
      <c r="L156" s="74">
        <v>477.0952380952381</v>
      </c>
      <c r="M156" s="75">
        <v>4633.33544921875</v>
      </c>
      <c r="N156" s="75">
        <v>5104.876953125</v>
      </c>
      <c r="O156" s="76"/>
      <c r="P156" s="77"/>
      <c r="Q156" s="77"/>
      <c r="R156" s="104"/>
      <c r="S156" s="49">
        <v>1</v>
      </c>
      <c r="T156" s="49">
        <v>0</v>
      </c>
      <c r="U156" s="50">
        <v>0</v>
      </c>
      <c r="V156" s="50">
        <v>0.000784</v>
      </c>
      <c r="W156" s="50">
        <v>0.000331</v>
      </c>
      <c r="X156" s="50">
        <v>0.479823</v>
      </c>
      <c r="Y156" s="50">
        <v>0</v>
      </c>
      <c r="Z156" s="50">
        <v>0</v>
      </c>
      <c r="AA156" s="72">
        <v>156</v>
      </c>
      <c r="AB156" s="72"/>
      <c r="AC156" s="73"/>
      <c r="AD156" s="89" t="s">
        <v>1628</v>
      </c>
      <c r="AE156" s="102" t="s">
        <v>1380</v>
      </c>
      <c r="AF156" s="89">
        <v>2541</v>
      </c>
      <c r="AG156" s="89">
        <v>2594</v>
      </c>
      <c r="AH156" s="89">
        <v>21251</v>
      </c>
      <c r="AI156" s="89">
        <v>66668</v>
      </c>
      <c r="AJ156" s="89"/>
      <c r="AK156" s="89" t="s">
        <v>2094</v>
      </c>
      <c r="AL156" s="89" t="s">
        <v>2223</v>
      </c>
      <c r="AM156" s="89"/>
      <c r="AN156" s="89"/>
      <c r="AO156" s="92">
        <v>40600.69700231482</v>
      </c>
      <c r="AP156" s="95" t="str">
        <f>HYPERLINK("https://pbs.twimg.com/profile_banners/257947811/1610369653")</f>
        <v>https://pbs.twimg.com/profile_banners/257947811/1610369653</v>
      </c>
      <c r="AQ156" s="89" t="b">
        <v>0</v>
      </c>
      <c r="AR156" s="89" t="b">
        <v>0</v>
      </c>
      <c r="AS156" s="89" t="b">
        <v>0</v>
      </c>
      <c r="AT156" s="89"/>
      <c r="AU156" s="89">
        <v>48</v>
      </c>
      <c r="AV156" s="95" t="str">
        <f>HYPERLINK("https://abs.twimg.com/images/themes/theme9/bg.gif")</f>
        <v>https://abs.twimg.com/images/themes/theme9/bg.gif</v>
      </c>
      <c r="AW156" s="89" t="b">
        <v>0</v>
      </c>
      <c r="AX156" s="89" t="s">
        <v>2300</v>
      </c>
      <c r="AY156" s="95" t="str">
        <f>HYPERLINK("https://twitter.com/isakstom")</f>
        <v>https://twitter.com/isakstom</v>
      </c>
      <c r="AZ156" s="89" t="s">
        <v>65</v>
      </c>
      <c r="BA156" s="89"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454</v>
      </c>
      <c r="B157" s="66"/>
      <c r="C157" s="66" t="s">
        <v>46</v>
      </c>
      <c r="D157" s="67">
        <v>10</v>
      </c>
      <c r="E157" s="69"/>
      <c r="F157" s="111" t="str">
        <f>HYPERLINK("https://pbs.twimg.com/profile_images/1261771699676119041/txG-GVni_normal.jpg")</f>
        <v>https://pbs.twimg.com/profile_images/1261771699676119041/txG-GVni_normal.jpg</v>
      </c>
      <c r="G157" s="66"/>
      <c r="H157" s="70" t="s">
        <v>454</v>
      </c>
      <c r="I157" s="71" t="s">
        <v>5820</v>
      </c>
      <c r="J157" s="71" t="s">
        <v>75</v>
      </c>
      <c r="K157" s="70" t="s">
        <v>2454</v>
      </c>
      <c r="L157" s="74">
        <v>477.0952380952381</v>
      </c>
      <c r="M157" s="75">
        <v>4309.982421875</v>
      </c>
      <c r="N157" s="75">
        <v>6296.041015625</v>
      </c>
      <c r="O157" s="76"/>
      <c r="P157" s="77"/>
      <c r="Q157" s="77"/>
      <c r="R157" s="104"/>
      <c r="S157" s="49">
        <v>1</v>
      </c>
      <c r="T157" s="49">
        <v>0</v>
      </c>
      <c r="U157" s="50">
        <v>0</v>
      </c>
      <c r="V157" s="50">
        <v>0.000784</v>
      </c>
      <c r="W157" s="50">
        <v>0.000331</v>
      </c>
      <c r="X157" s="50">
        <v>0.479823</v>
      </c>
      <c r="Y157" s="50">
        <v>0</v>
      </c>
      <c r="Z157" s="50">
        <v>0</v>
      </c>
      <c r="AA157" s="72">
        <v>157</v>
      </c>
      <c r="AB157" s="72"/>
      <c r="AC157" s="73"/>
      <c r="AD157" s="89" t="s">
        <v>1629</v>
      </c>
      <c r="AE157" s="102" t="s">
        <v>1381</v>
      </c>
      <c r="AF157" s="89">
        <v>1201</v>
      </c>
      <c r="AG157" s="89">
        <v>3389</v>
      </c>
      <c r="AH157" s="89">
        <v>77676</v>
      </c>
      <c r="AI157" s="89">
        <v>163057</v>
      </c>
      <c r="AJ157" s="89"/>
      <c r="AK157" s="89" t="s">
        <v>2095</v>
      </c>
      <c r="AL157" s="89" t="s">
        <v>2262</v>
      </c>
      <c r="AM157" s="95" t="str">
        <f>HYPERLINK("https://t.co/xXwSvXWBIj")</f>
        <v>https://t.co/xXwSvXWBIj</v>
      </c>
      <c r="AN157" s="89"/>
      <c r="AO157" s="92">
        <v>41349.48166666667</v>
      </c>
      <c r="AP157" s="95" t="str">
        <f>HYPERLINK("https://pbs.twimg.com/profile_banners/1272093986/1626454707")</f>
        <v>https://pbs.twimg.com/profile_banners/1272093986/1626454707</v>
      </c>
      <c r="AQ157" s="89" t="b">
        <v>0</v>
      </c>
      <c r="AR157" s="89" t="b">
        <v>0</v>
      </c>
      <c r="AS157" s="89" t="b">
        <v>1</v>
      </c>
      <c r="AT157" s="89"/>
      <c r="AU157" s="89">
        <v>11</v>
      </c>
      <c r="AV157" s="95" t="str">
        <f>HYPERLINK("https://abs.twimg.com/images/themes/theme1/bg.png")</f>
        <v>https://abs.twimg.com/images/themes/theme1/bg.png</v>
      </c>
      <c r="AW157" s="89" t="b">
        <v>0</v>
      </c>
      <c r="AX157" s="89" t="s">
        <v>2300</v>
      </c>
      <c r="AY157" s="95" t="str">
        <f>HYPERLINK("https://twitter.com/tiinakeskimki")</f>
        <v>https://twitter.com/tiinakeskimki</v>
      </c>
      <c r="AZ157" s="89" t="s">
        <v>65</v>
      </c>
      <c r="BA157" s="89"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455</v>
      </c>
      <c r="B158" s="66"/>
      <c r="C158" s="66" t="s">
        <v>46</v>
      </c>
      <c r="D158" s="67">
        <v>10</v>
      </c>
      <c r="E158" s="69"/>
      <c r="F158" s="111" t="str">
        <f>HYPERLINK("https://pbs.twimg.com/profile_images/1456300690851180549/J43DW9l-_normal.jpg")</f>
        <v>https://pbs.twimg.com/profile_images/1456300690851180549/J43DW9l-_normal.jpg</v>
      </c>
      <c r="G158" s="66"/>
      <c r="H158" s="70" t="s">
        <v>455</v>
      </c>
      <c r="I158" s="71" t="s">
        <v>5820</v>
      </c>
      <c r="J158" s="71" t="s">
        <v>75</v>
      </c>
      <c r="K158" s="70" t="s">
        <v>2455</v>
      </c>
      <c r="L158" s="74">
        <v>477.0952380952381</v>
      </c>
      <c r="M158" s="75">
        <v>4921.1689453125</v>
      </c>
      <c r="N158" s="75">
        <v>5794.0205078125</v>
      </c>
      <c r="O158" s="76"/>
      <c r="P158" s="77"/>
      <c r="Q158" s="77"/>
      <c r="R158" s="104"/>
      <c r="S158" s="49">
        <v>1</v>
      </c>
      <c r="T158" s="49">
        <v>0</v>
      </c>
      <c r="U158" s="50">
        <v>0</v>
      </c>
      <c r="V158" s="50">
        <v>0.000784</v>
      </c>
      <c r="W158" s="50">
        <v>0.000331</v>
      </c>
      <c r="X158" s="50">
        <v>0.479823</v>
      </c>
      <c r="Y158" s="50">
        <v>0</v>
      </c>
      <c r="Z158" s="50">
        <v>0</v>
      </c>
      <c r="AA158" s="72">
        <v>158</v>
      </c>
      <c r="AB158" s="72"/>
      <c r="AC158" s="73"/>
      <c r="AD158" s="89" t="s">
        <v>1630</v>
      </c>
      <c r="AE158" s="102" t="s">
        <v>1382</v>
      </c>
      <c r="AF158" s="89">
        <v>3181</v>
      </c>
      <c r="AG158" s="89">
        <v>2375</v>
      </c>
      <c r="AH158" s="89">
        <v>16153</v>
      </c>
      <c r="AI158" s="89">
        <v>12152</v>
      </c>
      <c r="AJ158" s="89"/>
      <c r="AK158" s="89" t="s">
        <v>2096</v>
      </c>
      <c r="AL158" s="89" t="s">
        <v>2263</v>
      </c>
      <c r="AM158" s="89"/>
      <c r="AN158" s="89"/>
      <c r="AO158" s="92">
        <v>41335.532314814816</v>
      </c>
      <c r="AP158" s="95" t="str">
        <f>HYPERLINK("https://pbs.twimg.com/profile_banners/1234614103/1631785246")</f>
        <v>https://pbs.twimg.com/profile_banners/1234614103/1631785246</v>
      </c>
      <c r="AQ158" s="89" t="b">
        <v>0</v>
      </c>
      <c r="AR158" s="89" t="b">
        <v>0</v>
      </c>
      <c r="AS158" s="89" t="b">
        <v>1</v>
      </c>
      <c r="AT158" s="89"/>
      <c r="AU158" s="89">
        <v>10</v>
      </c>
      <c r="AV158" s="95" t="str">
        <f>HYPERLINK("https://abs.twimg.com/images/themes/theme18/bg.gif")</f>
        <v>https://abs.twimg.com/images/themes/theme18/bg.gif</v>
      </c>
      <c r="AW158" s="89" t="b">
        <v>0</v>
      </c>
      <c r="AX158" s="89" t="s">
        <v>2300</v>
      </c>
      <c r="AY158" s="95" t="str">
        <f>HYPERLINK("https://twitter.com/mirkhe")</f>
        <v>https://twitter.com/mirkhe</v>
      </c>
      <c r="AZ158" s="89" t="s">
        <v>65</v>
      </c>
      <c r="BA158" s="89"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456</v>
      </c>
      <c r="B159" s="66"/>
      <c r="C159" s="66" t="s">
        <v>46</v>
      </c>
      <c r="D159" s="67">
        <v>10</v>
      </c>
      <c r="E159" s="69"/>
      <c r="F159" s="111" t="str">
        <f>HYPERLINK("https://pbs.twimg.com/profile_images/1357989773621739520/ELu5XI7Y_normal.jpg")</f>
        <v>https://pbs.twimg.com/profile_images/1357989773621739520/ELu5XI7Y_normal.jpg</v>
      </c>
      <c r="G159" s="66"/>
      <c r="H159" s="70" t="s">
        <v>456</v>
      </c>
      <c r="I159" s="71" t="s">
        <v>5820</v>
      </c>
      <c r="J159" s="71" t="s">
        <v>75</v>
      </c>
      <c r="K159" s="70" t="s">
        <v>2456</v>
      </c>
      <c r="L159" s="74">
        <v>477.0952380952381</v>
      </c>
      <c r="M159" s="75">
        <v>4202.7998046875</v>
      </c>
      <c r="N159" s="75">
        <v>5300.8759765625</v>
      </c>
      <c r="O159" s="76"/>
      <c r="P159" s="77"/>
      <c r="Q159" s="77"/>
      <c r="R159" s="104"/>
      <c r="S159" s="49">
        <v>1</v>
      </c>
      <c r="T159" s="49">
        <v>0</v>
      </c>
      <c r="U159" s="50">
        <v>0</v>
      </c>
      <c r="V159" s="50">
        <v>0.000784</v>
      </c>
      <c r="W159" s="50">
        <v>0.000331</v>
      </c>
      <c r="X159" s="50">
        <v>0.479823</v>
      </c>
      <c r="Y159" s="50">
        <v>0</v>
      </c>
      <c r="Z159" s="50">
        <v>0</v>
      </c>
      <c r="AA159" s="72">
        <v>159</v>
      </c>
      <c r="AB159" s="72"/>
      <c r="AC159" s="73"/>
      <c r="AD159" s="89" t="s">
        <v>1631</v>
      </c>
      <c r="AE159" s="102" t="s">
        <v>1383</v>
      </c>
      <c r="AF159" s="89">
        <v>448</v>
      </c>
      <c r="AG159" s="89">
        <v>249</v>
      </c>
      <c r="AH159" s="89">
        <v>2093</v>
      </c>
      <c r="AI159" s="89">
        <v>9945</v>
      </c>
      <c r="AJ159" s="89"/>
      <c r="AK159" s="89" t="s">
        <v>2097</v>
      </c>
      <c r="AL159" s="89" t="s">
        <v>2264</v>
      </c>
      <c r="AM159" s="89"/>
      <c r="AN159" s="89"/>
      <c r="AO159" s="92">
        <v>43793.58646990741</v>
      </c>
      <c r="AP159" s="95" t="str">
        <f>HYPERLINK("https://pbs.twimg.com/profile_banners/1198603178197037056/1629266926")</f>
        <v>https://pbs.twimg.com/profile_banners/1198603178197037056/1629266926</v>
      </c>
      <c r="AQ159" s="89" t="b">
        <v>1</v>
      </c>
      <c r="AR159" s="89" t="b">
        <v>0</v>
      </c>
      <c r="AS159" s="89" t="b">
        <v>1</v>
      </c>
      <c r="AT159" s="89"/>
      <c r="AU159" s="89">
        <v>3</v>
      </c>
      <c r="AV159" s="89"/>
      <c r="AW159" s="89" t="b">
        <v>0</v>
      </c>
      <c r="AX159" s="89" t="s">
        <v>2300</v>
      </c>
      <c r="AY159" s="95" t="str">
        <f>HYPERLINK("https://twitter.com/aittolaeija")</f>
        <v>https://twitter.com/aittolaeija</v>
      </c>
      <c r="AZ159" s="89" t="s">
        <v>65</v>
      </c>
      <c r="BA159" s="89"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457</v>
      </c>
      <c r="B160" s="66"/>
      <c r="C160" s="66" t="s">
        <v>64</v>
      </c>
      <c r="D160" s="67">
        <v>392.9842791621962</v>
      </c>
      <c r="E160" s="69"/>
      <c r="F160" s="111" t="str">
        <f>HYPERLINK("https://pbs.twimg.com/profile_images/1199374831101382663/wghlIV4q_normal.jpg")</f>
        <v>https://pbs.twimg.com/profile_images/1199374831101382663/wghlIV4q_normal.jpg</v>
      </c>
      <c r="G160" s="66"/>
      <c r="H160" s="70" t="s">
        <v>457</v>
      </c>
      <c r="I160" s="71" t="s">
        <v>5820</v>
      </c>
      <c r="J160" s="71" t="s">
        <v>75</v>
      </c>
      <c r="K160" s="70" t="s">
        <v>2457</v>
      </c>
      <c r="L160" s="74">
        <v>953.1904761904761</v>
      </c>
      <c r="M160" s="75">
        <v>4089.492431640625</v>
      </c>
      <c r="N160" s="75">
        <v>5970.03857421875</v>
      </c>
      <c r="O160" s="76"/>
      <c r="P160" s="77"/>
      <c r="Q160" s="77"/>
      <c r="R160" s="104"/>
      <c r="S160" s="49">
        <v>2</v>
      </c>
      <c r="T160" s="49">
        <v>0</v>
      </c>
      <c r="U160" s="50">
        <v>972</v>
      </c>
      <c r="V160" s="50">
        <v>0.000787</v>
      </c>
      <c r="W160" s="50">
        <v>0.000336</v>
      </c>
      <c r="X160" s="50">
        <v>0.926438</v>
      </c>
      <c r="Y160" s="50">
        <v>0</v>
      </c>
      <c r="Z160" s="50">
        <v>0</v>
      </c>
      <c r="AA160" s="72">
        <v>160</v>
      </c>
      <c r="AB160" s="72"/>
      <c r="AC160" s="73"/>
      <c r="AD160" s="89" t="s">
        <v>1632</v>
      </c>
      <c r="AE160" s="102" t="s">
        <v>1873</v>
      </c>
      <c r="AF160" s="89">
        <v>190</v>
      </c>
      <c r="AG160" s="89">
        <v>10847</v>
      </c>
      <c r="AH160" s="89">
        <v>1336</v>
      </c>
      <c r="AI160" s="89">
        <v>1329</v>
      </c>
      <c r="AJ160" s="89"/>
      <c r="AK160" s="89"/>
      <c r="AL160" s="89"/>
      <c r="AM160" s="89"/>
      <c r="AN160" s="89"/>
      <c r="AO160" s="92">
        <v>43445.89604166667</v>
      </c>
      <c r="AP160" s="95" t="str">
        <f>HYPERLINK("https://pbs.twimg.com/profile_banners/1072604511024398339/1544564094")</f>
        <v>https://pbs.twimg.com/profile_banners/1072604511024398339/1544564094</v>
      </c>
      <c r="AQ160" s="89" t="b">
        <v>1</v>
      </c>
      <c r="AR160" s="89" t="b">
        <v>0</v>
      </c>
      <c r="AS160" s="89" t="b">
        <v>1</v>
      </c>
      <c r="AT160" s="89"/>
      <c r="AU160" s="89">
        <v>33</v>
      </c>
      <c r="AV160" s="89"/>
      <c r="AW160" s="89" t="b">
        <v>0</v>
      </c>
      <c r="AX160" s="89" t="s">
        <v>2300</v>
      </c>
      <c r="AY160" s="95" t="str">
        <f>HYPERLINK("https://twitter.com/turtiainenano")</f>
        <v>https://twitter.com/turtiainenano</v>
      </c>
      <c r="AZ160" s="89" t="s">
        <v>65</v>
      </c>
      <c r="BA160" s="89"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290</v>
      </c>
      <c r="B161" s="66"/>
      <c r="C161" s="66" t="s">
        <v>46</v>
      </c>
      <c r="D161" s="67">
        <v>10</v>
      </c>
      <c r="E161" s="69"/>
      <c r="F161" s="111" t="str">
        <f>HYPERLINK("https://pbs.twimg.com/profile_images/1458126426700460033/VQQppSgg_normal.jpg")</f>
        <v>https://pbs.twimg.com/profile_images/1458126426700460033/VQQppSgg_normal.jpg</v>
      </c>
      <c r="G161" s="66"/>
      <c r="H161" s="70" t="s">
        <v>290</v>
      </c>
      <c r="I161" s="71" t="s">
        <v>5821</v>
      </c>
      <c r="J161" s="71" t="s">
        <v>73</v>
      </c>
      <c r="K161" s="70" t="s">
        <v>2458</v>
      </c>
      <c r="L161" s="74">
        <v>477.0952380952381</v>
      </c>
      <c r="M161" s="75">
        <v>1969.3455810546875</v>
      </c>
      <c r="N161" s="75">
        <v>1923.7930908203125</v>
      </c>
      <c r="O161" s="76"/>
      <c r="P161" s="77"/>
      <c r="Q161" s="77"/>
      <c r="R161" s="104"/>
      <c r="S161" s="49">
        <v>1</v>
      </c>
      <c r="T161" s="49">
        <v>2</v>
      </c>
      <c r="U161" s="50">
        <v>0.095238</v>
      </c>
      <c r="V161" s="50">
        <v>0.00089</v>
      </c>
      <c r="W161" s="50">
        <v>0.001141</v>
      </c>
      <c r="X161" s="50">
        <v>0.751061</v>
      </c>
      <c r="Y161" s="50">
        <v>0.3333333333333333</v>
      </c>
      <c r="Z161" s="50">
        <v>0</v>
      </c>
      <c r="AA161" s="72">
        <v>161</v>
      </c>
      <c r="AB161" s="72"/>
      <c r="AC161" s="73"/>
      <c r="AD161" s="89" t="s">
        <v>1633</v>
      </c>
      <c r="AE161" s="102" t="s">
        <v>1386</v>
      </c>
      <c r="AF161" s="89">
        <v>66</v>
      </c>
      <c r="AG161" s="89">
        <v>41</v>
      </c>
      <c r="AH161" s="89">
        <v>72</v>
      </c>
      <c r="AI161" s="89">
        <v>624</v>
      </c>
      <c r="AJ161" s="89"/>
      <c r="AK161" s="89" t="s">
        <v>2098</v>
      </c>
      <c r="AL161" s="89" t="s">
        <v>2265</v>
      </c>
      <c r="AM161" s="89"/>
      <c r="AN161" s="89"/>
      <c r="AO161" s="92">
        <v>41676.616261574076</v>
      </c>
      <c r="AP161" s="89"/>
      <c r="AQ161" s="89" t="b">
        <v>1</v>
      </c>
      <c r="AR161" s="89" t="b">
        <v>0</v>
      </c>
      <c r="AS161" s="89" t="b">
        <v>0</v>
      </c>
      <c r="AT161" s="89"/>
      <c r="AU161" s="89">
        <v>0</v>
      </c>
      <c r="AV161" s="95" t="str">
        <f>HYPERLINK("https://abs.twimg.com/images/themes/theme1/bg.png")</f>
        <v>https://abs.twimg.com/images/themes/theme1/bg.png</v>
      </c>
      <c r="AW161" s="89" t="b">
        <v>0</v>
      </c>
      <c r="AX161" s="89" t="s">
        <v>2300</v>
      </c>
      <c r="AY161" s="95" t="str">
        <f>HYPERLINK("https://twitter.com/laski77")</f>
        <v>https://twitter.com/laski77</v>
      </c>
      <c r="AZ161" s="89" t="s">
        <v>66</v>
      </c>
      <c r="BA161" s="89" t="str">
        <f>REPLACE(INDEX(GroupVertices[Group],MATCH(Vertices[[#This Row],[Vertex]],GroupVertices[Vertex],0)),1,1,"")</f>
        <v>2</v>
      </c>
      <c r="BB161" s="49">
        <v>0</v>
      </c>
      <c r="BC161" s="50">
        <v>0</v>
      </c>
      <c r="BD161" s="49">
        <v>0</v>
      </c>
      <c r="BE161" s="50">
        <v>0</v>
      </c>
      <c r="BF161" s="49">
        <v>0</v>
      </c>
      <c r="BG161" s="50">
        <v>0</v>
      </c>
      <c r="BH161" s="49">
        <v>28</v>
      </c>
      <c r="BI161" s="50">
        <v>100</v>
      </c>
      <c r="BJ161" s="49">
        <v>28</v>
      </c>
      <c r="BK161" s="49" t="s">
        <v>5210</v>
      </c>
      <c r="BL161" s="49" t="s">
        <v>5210</v>
      </c>
      <c r="BM161" s="49" t="s">
        <v>698</v>
      </c>
      <c r="BN161" s="49" t="s">
        <v>698</v>
      </c>
      <c r="BO161" s="49"/>
      <c r="BP161" s="49"/>
      <c r="BQ161" s="123" t="s">
        <v>5594</v>
      </c>
      <c r="BR161" s="123" t="s">
        <v>5594</v>
      </c>
      <c r="BS161" s="123" t="s">
        <v>5746</v>
      </c>
      <c r="BT161" s="123" t="s">
        <v>5746</v>
      </c>
      <c r="BU161" s="2"/>
      <c r="BV161" s="3"/>
      <c r="BW161" s="3"/>
      <c r="BX161" s="3"/>
      <c r="BY161" s="3"/>
    </row>
    <row r="162" spans="1:77" ht="15">
      <c r="A162" s="65" t="s">
        <v>458</v>
      </c>
      <c r="B162" s="66"/>
      <c r="C162" s="66" t="s">
        <v>64</v>
      </c>
      <c r="D162" s="67">
        <v>1000</v>
      </c>
      <c r="E162" s="69"/>
      <c r="F162" s="111" t="str">
        <f>HYPERLINK("https://pbs.twimg.com/profile_images/1195594365323882496/M2DfgkT7_normal.jpg")</f>
        <v>https://pbs.twimg.com/profile_images/1195594365323882496/M2DfgkT7_normal.jpg</v>
      </c>
      <c r="G162" s="66"/>
      <c r="H162" s="70" t="s">
        <v>458</v>
      </c>
      <c r="I162" s="71" t="s">
        <v>5821</v>
      </c>
      <c r="J162" s="71" t="s">
        <v>75</v>
      </c>
      <c r="K162" s="70" t="s">
        <v>2459</v>
      </c>
      <c r="L162" s="74">
        <v>9999</v>
      </c>
      <c r="M162" s="75">
        <v>1625.237548828125</v>
      </c>
      <c r="N162" s="75">
        <v>2440.60693359375</v>
      </c>
      <c r="O162" s="76"/>
      <c r="P162" s="77"/>
      <c r="Q162" s="77"/>
      <c r="R162" s="104"/>
      <c r="S162" s="49">
        <v>21</v>
      </c>
      <c r="T162" s="49">
        <v>0</v>
      </c>
      <c r="U162" s="50">
        <v>9205.056954</v>
      </c>
      <c r="V162" s="50">
        <v>0.001133</v>
      </c>
      <c r="W162" s="50">
        <v>0.004319</v>
      </c>
      <c r="X162" s="50">
        <v>4.796162</v>
      </c>
      <c r="Y162" s="50">
        <v>0.02619047619047619</v>
      </c>
      <c r="Z162" s="50">
        <v>0</v>
      </c>
      <c r="AA162" s="72">
        <v>162</v>
      </c>
      <c r="AB162" s="72"/>
      <c r="AC162" s="73"/>
      <c r="AD162" s="89" t="s">
        <v>1634</v>
      </c>
      <c r="AE162" s="102" t="s">
        <v>1874</v>
      </c>
      <c r="AF162" s="89">
        <v>590</v>
      </c>
      <c r="AG162" s="89">
        <v>724</v>
      </c>
      <c r="AH162" s="89">
        <v>953</v>
      </c>
      <c r="AI162" s="89">
        <v>599</v>
      </c>
      <c r="AJ162" s="89"/>
      <c r="AK162" s="89" t="s">
        <v>2099</v>
      </c>
      <c r="AL162" s="89"/>
      <c r="AM162" s="89"/>
      <c r="AN162" s="89"/>
      <c r="AO162" s="92">
        <v>41718.91334490741</v>
      </c>
      <c r="AP162" s="95" t="str">
        <f>HYPERLINK("https://pbs.twimg.com/profile_banners/2425601542/1575925332")</f>
        <v>https://pbs.twimg.com/profile_banners/2425601542/1575925332</v>
      </c>
      <c r="AQ162" s="89" t="b">
        <v>1</v>
      </c>
      <c r="AR162" s="89" t="b">
        <v>0</v>
      </c>
      <c r="AS162" s="89" t="b">
        <v>1</v>
      </c>
      <c r="AT162" s="89"/>
      <c r="AU162" s="89">
        <v>8</v>
      </c>
      <c r="AV162" s="95" t="str">
        <f>HYPERLINK("https://abs.twimg.com/images/themes/theme1/bg.png")</f>
        <v>https://abs.twimg.com/images/themes/theme1/bg.png</v>
      </c>
      <c r="AW162" s="89" t="b">
        <v>0</v>
      </c>
      <c r="AX162" s="89" t="s">
        <v>2300</v>
      </c>
      <c r="AY162" s="95" t="str">
        <f>HYPERLINK("https://twitter.com/muhisazizi")</f>
        <v>https://twitter.com/muhisazizi</v>
      </c>
      <c r="AZ162" s="89" t="s">
        <v>65</v>
      </c>
      <c r="BA162" s="89"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459</v>
      </c>
      <c r="B163" s="66"/>
      <c r="C163" s="66" t="s">
        <v>64</v>
      </c>
      <c r="D163" s="67">
        <v>1000</v>
      </c>
      <c r="E163" s="69"/>
      <c r="F163" s="111" t="str">
        <f>HYPERLINK("https://pbs.twimg.com/profile_images/866505920355983360/Hj4kO01r_normal.jpg")</f>
        <v>https://pbs.twimg.com/profile_images/866505920355983360/Hj4kO01r_normal.jpg</v>
      </c>
      <c r="G163" s="66"/>
      <c r="H163" s="70" t="s">
        <v>459</v>
      </c>
      <c r="I163" s="71" t="s">
        <v>5821</v>
      </c>
      <c r="J163" s="71" t="s">
        <v>75</v>
      </c>
      <c r="K163" s="70" t="s">
        <v>2460</v>
      </c>
      <c r="L163" s="74">
        <v>9999</v>
      </c>
      <c r="M163" s="75">
        <v>1672.4110107421875</v>
      </c>
      <c r="N163" s="75">
        <v>2419.718505859375</v>
      </c>
      <c r="O163" s="76"/>
      <c r="P163" s="77"/>
      <c r="Q163" s="77"/>
      <c r="R163" s="104"/>
      <c r="S163" s="49">
        <v>21</v>
      </c>
      <c r="T163" s="49">
        <v>0</v>
      </c>
      <c r="U163" s="50">
        <v>9205.056954</v>
      </c>
      <c r="V163" s="50">
        <v>0.001133</v>
      </c>
      <c r="W163" s="50">
        <v>0.004319</v>
      </c>
      <c r="X163" s="50">
        <v>4.796162</v>
      </c>
      <c r="Y163" s="50">
        <v>0.02619047619047619</v>
      </c>
      <c r="Z163" s="50">
        <v>0</v>
      </c>
      <c r="AA163" s="72">
        <v>163</v>
      </c>
      <c r="AB163" s="72"/>
      <c r="AC163" s="73"/>
      <c r="AD163" s="89" t="s">
        <v>1635</v>
      </c>
      <c r="AE163" s="102" t="s">
        <v>1385</v>
      </c>
      <c r="AF163" s="89">
        <v>718</v>
      </c>
      <c r="AG163" s="89">
        <v>23992</v>
      </c>
      <c r="AH163" s="89">
        <v>41864</v>
      </c>
      <c r="AI163" s="89">
        <v>83190</v>
      </c>
      <c r="AJ163" s="89"/>
      <c r="AK163" s="89" t="s">
        <v>2100</v>
      </c>
      <c r="AL163" s="89" t="s">
        <v>2266</v>
      </c>
      <c r="AM163" s="95" t="str">
        <f>HYPERLINK("https://t.co/ysf6s4HIgP")</f>
        <v>https://t.co/ysf6s4HIgP</v>
      </c>
      <c r="AN163" s="89"/>
      <c r="AO163" s="92">
        <v>41512.63826388889</v>
      </c>
      <c r="AP163" s="95" t="str">
        <f>HYPERLINK("https://pbs.twimg.com/profile_banners/1702199024/1429516575")</f>
        <v>https://pbs.twimg.com/profile_banners/1702199024/1429516575</v>
      </c>
      <c r="AQ163" s="89" t="b">
        <v>0</v>
      </c>
      <c r="AR163" s="89" t="b">
        <v>0</v>
      </c>
      <c r="AS163" s="89" t="b">
        <v>1</v>
      </c>
      <c r="AT163" s="89"/>
      <c r="AU163" s="89">
        <v>73</v>
      </c>
      <c r="AV163" s="95" t="str">
        <f>HYPERLINK("https://abs.twimg.com/images/themes/theme9/bg.gif")</f>
        <v>https://abs.twimg.com/images/themes/theme9/bg.gif</v>
      </c>
      <c r="AW163" s="89" t="b">
        <v>0</v>
      </c>
      <c r="AX163" s="89" t="s">
        <v>2300</v>
      </c>
      <c r="AY163" s="95" t="str">
        <f>HYPERLINK("https://twitter.com/tommi_kinnunen")</f>
        <v>https://twitter.com/tommi_kinnunen</v>
      </c>
      <c r="AZ163" s="89" t="s">
        <v>65</v>
      </c>
      <c r="BA163" s="89"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291</v>
      </c>
      <c r="B164" s="66"/>
      <c r="C164" s="66" t="s">
        <v>46</v>
      </c>
      <c r="D164" s="67"/>
      <c r="E164" s="69"/>
      <c r="F164" s="111" t="str">
        <f>HYPERLINK("https://pbs.twimg.com/profile_images/1140009132617097221/JKlc_kUv_normal.jpg")</f>
        <v>https://pbs.twimg.com/profile_images/1140009132617097221/JKlc_kUv_normal.jpg</v>
      </c>
      <c r="G164" s="66"/>
      <c r="H164" s="70" t="s">
        <v>291</v>
      </c>
      <c r="I164" s="71" t="s">
        <v>5821</v>
      </c>
      <c r="J164" s="71" t="s">
        <v>73</v>
      </c>
      <c r="K164" s="70" t="s">
        <v>2461</v>
      </c>
      <c r="L164" s="74">
        <v>1</v>
      </c>
      <c r="M164" s="75">
        <v>2064.531494140625</v>
      </c>
      <c r="N164" s="75">
        <v>2181.4677734375</v>
      </c>
      <c r="O164" s="76"/>
      <c r="P164" s="77"/>
      <c r="Q164" s="77"/>
      <c r="R164" s="104"/>
      <c r="S164" s="49">
        <v>0</v>
      </c>
      <c r="T164" s="49">
        <v>3</v>
      </c>
      <c r="U164" s="50">
        <v>0.095238</v>
      </c>
      <c r="V164" s="50">
        <v>0.00089</v>
      </c>
      <c r="W164" s="50">
        <v>0.001141</v>
      </c>
      <c r="X164" s="50">
        <v>0.751061</v>
      </c>
      <c r="Y164" s="50">
        <v>0.3333333333333333</v>
      </c>
      <c r="Z164" s="50">
        <v>0</v>
      </c>
      <c r="AA164" s="72">
        <v>164</v>
      </c>
      <c r="AB164" s="72"/>
      <c r="AC164" s="73"/>
      <c r="AD164" s="89" t="s">
        <v>1636</v>
      </c>
      <c r="AE164" s="102" t="s">
        <v>1875</v>
      </c>
      <c r="AF164" s="89">
        <v>475</v>
      </c>
      <c r="AG164" s="89">
        <v>248</v>
      </c>
      <c r="AH164" s="89">
        <v>4579</v>
      </c>
      <c r="AI164" s="89">
        <v>14116</v>
      </c>
      <c r="AJ164" s="89"/>
      <c r="AK164" s="89"/>
      <c r="AL164" s="89" t="s">
        <v>2223</v>
      </c>
      <c r="AM164" s="89"/>
      <c r="AN164" s="89"/>
      <c r="AO164" s="92">
        <v>42411.86207175926</v>
      </c>
      <c r="AP164" s="95" t="str">
        <f>HYPERLINK("https://pbs.twimg.com/profile_banners/4899269452/1589762589")</f>
        <v>https://pbs.twimg.com/profile_banners/4899269452/1589762589</v>
      </c>
      <c r="AQ164" s="89" t="b">
        <v>0</v>
      </c>
      <c r="AR164" s="89" t="b">
        <v>0</v>
      </c>
      <c r="AS164" s="89" t="b">
        <v>0</v>
      </c>
      <c r="AT164" s="89"/>
      <c r="AU164" s="89">
        <v>0</v>
      </c>
      <c r="AV164" s="95" t="str">
        <f>HYPERLINK("https://abs.twimg.com/images/themes/theme1/bg.png")</f>
        <v>https://abs.twimg.com/images/themes/theme1/bg.png</v>
      </c>
      <c r="AW164" s="89" t="b">
        <v>0</v>
      </c>
      <c r="AX164" s="89" t="s">
        <v>2300</v>
      </c>
      <c r="AY164" s="95" t="str">
        <f>HYPERLINK("https://twitter.com/f1nhammer")</f>
        <v>https://twitter.com/f1nhammer</v>
      </c>
      <c r="AZ164" s="89" t="s">
        <v>66</v>
      </c>
      <c r="BA164" s="89" t="str">
        <f>REPLACE(INDEX(GroupVertices[Group],MATCH(Vertices[[#This Row],[Vertex]],GroupVertices[Vertex],0)),1,1,"")</f>
        <v>2</v>
      </c>
      <c r="BB164" s="49">
        <v>0</v>
      </c>
      <c r="BC164" s="50">
        <v>0</v>
      </c>
      <c r="BD164" s="49">
        <v>0</v>
      </c>
      <c r="BE164" s="50">
        <v>0</v>
      </c>
      <c r="BF164" s="49">
        <v>0</v>
      </c>
      <c r="BG164" s="50">
        <v>0</v>
      </c>
      <c r="BH164" s="49">
        <v>9</v>
      </c>
      <c r="BI164" s="50">
        <v>100</v>
      </c>
      <c r="BJ164" s="49">
        <v>9</v>
      </c>
      <c r="BK164" s="49" t="s">
        <v>5209</v>
      </c>
      <c r="BL164" s="49" t="s">
        <v>5209</v>
      </c>
      <c r="BM164" s="49" t="s">
        <v>699</v>
      </c>
      <c r="BN164" s="49" t="s">
        <v>699</v>
      </c>
      <c r="BO164" s="49"/>
      <c r="BP164" s="49"/>
      <c r="BQ164" s="123" t="s">
        <v>5595</v>
      </c>
      <c r="BR164" s="123" t="s">
        <v>5595</v>
      </c>
      <c r="BS164" s="123" t="s">
        <v>5747</v>
      </c>
      <c r="BT164" s="123" t="s">
        <v>5747</v>
      </c>
      <c r="BU164" s="2"/>
      <c r="BV164" s="3"/>
      <c r="BW164" s="3"/>
      <c r="BX164" s="3"/>
      <c r="BY164" s="3"/>
    </row>
    <row r="165" spans="1:77" ht="15">
      <c r="A165" s="65" t="s">
        <v>292</v>
      </c>
      <c r="B165" s="66"/>
      <c r="C165" s="66" t="s">
        <v>64</v>
      </c>
      <c r="D165" s="67">
        <v>392.9842791621962</v>
      </c>
      <c r="E165" s="69"/>
      <c r="F165" s="111" t="str">
        <f>HYPERLINK("https://pbs.twimg.com/profile_images/378800000524029180/9159908f71fbde4047e7c061a4ee941d_normal.jpeg")</f>
        <v>https://pbs.twimg.com/profile_images/378800000524029180/9159908f71fbde4047e7c061a4ee941d_normal.jpeg</v>
      </c>
      <c r="G165" s="66"/>
      <c r="H165" s="70" t="s">
        <v>292</v>
      </c>
      <c r="I165" s="71" t="s">
        <v>5821</v>
      </c>
      <c r="J165" s="71" t="s">
        <v>73</v>
      </c>
      <c r="K165" s="70" t="s">
        <v>2462</v>
      </c>
      <c r="L165" s="74">
        <v>953.1904761904761</v>
      </c>
      <c r="M165" s="75">
        <v>1447.222900390625</v>
      </c>
      <c r="N165" s="75">
        <v>2527.917724609375</v>
      </c>
      <c r="O165" s="76"/>
      <c r="P165" s="77"/>
      <c r="Q165" s="77"/>
      <c r="R165" s="104"/>
      <c r="S165" s="49">
        <v>2</v>
      </c>
      <c r="T165" s="49">
        <v>4</v>
      </c>
      <c r="U165" s="50">
        <v>2005.895238</v>
      </c>
      <c r="V165" s="50">
        <v>0.000912</v>
      </c>
      <c r="W165" s="50">
        <v>0.001422</v>
      </c>
      <c r="X165" s="50">
        <v>1.60473</v>
      </c>
      <c r="Y165" s="50">
        <v>0.16666666666666666</v>
      </c>
      <c r="Z165" s="50">
        <v>0</v>
      </c>
      <c r="AA165" s="72">
        <v>165</v>
      </c>
      <c r="AB165" s="72"/>
      <c r="AC165" s="73"/>
      <c r="AD165" s="89" t="s">
        <v>1637</v>
      </c>
      <c r="AE165" s="102" t="s">
        <v>1393</v>
      </c>
      <c r="AF165" s="89">
        <v>437</v>
      </c>
      <c r="AG165" s="89">
        <v>161</v>
      </c>
      <c r="AH165" s="89">
        <v>33881</v>
      </c>
      <c r="AI165" s="89">
        <v>29259</v>
      </c>
      <c r="AJ165" s="89"/>
      <c r="AK165" s="89" t="s">
        <v>2101</v>
      </c>
      <c r="AL165" s="89"/>
      <c r="AM165" s="89"/>
      <c r="AN165" s="89"/>
      <c r="AO165" s="92">
        <v>40979.54204861111</v>
      </c>
      <c r="AP165" s="95" t="str">
        <f>HYPERLINK("https://pbs.twimg.com/profile_banners/521300849/1398556908")</f>
        <v>https://pbs.twimg.com/profile_banners/521300849/1398556908</v>
      </c>
      <c r="AQ165" s="89" t="b">
        <v>0</v>
      </c>
      <c r="AR165" s="89" t="b">
        <v>0</v>
      </c>
      <c r="AS165" s="89" t="b">
        <v>0</v>
      </c>
      <c r="AT165" s="89"/>
      <c r="AU165" s="89">
        <v>9</v>
      </c>
      <c r="AV165" s="95" t="str">
        <f>HYPERLINK("https://abs.twimg.com/images/themes/theme14/bg.gif")</f>
        <v>https://abs.twimg.com/images/themes/theme14/bg.gif</v>
      </c>
      <c r="AW165" s="89" t="b">
        <v>0</v>
      </c>
      <c r="AX165" s="89" t="s">
        <v>2300</v>
      </c>
      <c r="AY165" s="95" t="str">
        <f>HYPERLINK("https://twitter.com/penjussi")</f>
        <v>https://twitter.com/penjussi</v>
      </c>
      <c r="AZ165" s="89" t="s">
        <v>66</v>
      </c>
      <c r="BA165" s="89" t="str">
        <f>REPLACE(INDEX(GroupVertices[Group],MATCH(Vertices[[#This Row],[Vertex]],GroupVertices[Vertex],0)),1,1,"")</f>
        <v>2</v>
      </c>
      <c r="BB165" s="49">
        <v>0</v>
      </c>
      <c r="BC165" s="50">
        <v>0</v>
      </c>
      <c r="BD165" s="49">
        <v>0</v>
      </c>
      <c r="BE165" s="50">
        <v>0</v>
      </c>
      <c r="BF165" s="49">
        <v>0</v>
      </c>
      <c r="BG165" s="50">
        <v>0</v>
      </c>
      <c r="BH165" s="49">
        <v>51</v>
      </c>
      <c r="BI165" s="50">
        <v>100</v>
      </c>
      <c r="BJ165" s="49">
        <v>51</v>
      </c>
      <c r="BK165" s="49" t="s">
        <v>5194</v>
      </c>
      <c r="BL165" s="49" t="s">
        <v>5194</v>
      </c>
      <c r="BM165" s="49" t="s">
        <v>700</v>
      </c>
      <c r="BN165" s="49" t="s">
        <v>700</v>
      </c>
      <c r="BO165" s="49"/>
      <c r="BP165" s="49"/>
      <c r="BQ165" s="123" t="s">
        <v>5596</v>
      </c>
      <c r="BR165" s="123" t="s">
        <v>5672</v>
      </c>
      <c r="BS165" s="123" t="s">
        <v>5748</v>
      </c>
      <c r="BT165" s="123" t="s">
        <v>5810</v>
      </c>
      <c r="BU165" s="2"/>
      <c r="BV165" s="3"/>
      <c r="BW165" s="3"/>
      <c r="BX165" s="3"/>
      <c r="BY165" s="3"/>
    </row>
    <row r="166" spans="1:77" ht="15">
      <c r="A166" s="65" t="s">
        <v>460</v>
      </c>
      <c r="B166" s="66"/>
      <c r="C166" s="66" t="s">
        <v>46</v>
      </c>
      <c r="D166" s="67">
        <v>10</v>
      </c>
      <c r="E166" s="69"/>
      <c r="F166" s="111" t="str">
        <f>HYPERLINK("https://pbs.twimg.com/profile_images/1006223202849296389/fLJj2-GP_normal.jpg")</f>
        <v>https://pbs.twimg.com/profile_images/1006223202849296389/fLJj2-GP_normal.jpg</v>
      </c>
      <c r="G166" s="66"/>
      <c r="H166" s="70" t="s">
        <v>460</v>
      </c>
      <c r="I166" s="71" t="s">
        <v>5821</v>
      </c>
      <c r="J166" s="71" t="s">
        <v>75</v>
      </c>
      <c r="K166" s="70" t="s">
        <v>2463</v>
      </c>
      <c r="L166" s="74">
        <v>477.0952380952381</v>
      </c>
      <c r="M166" s="75">
        <v>1098.2744140625</v>
      </c>
      <c r="N166" s="75">
        <v>2173.1708984375</v>
      </c>
      <c r="O166" s="76"/>
      <c r="P166" s="77"/>
      <c r="Q166" s="77"/>
      <c r="R166" s="104"/>
      <c r="S166" s="49">
        <v>1</v>
      </c>
      <c r="T166" s="49">
        <v>0</v>
      </c>
      <c r="U166" s="50">
        <v>0</v>
      </c>
      <c r="V166" s="50">
        <v>0.000746</v>
      </c>
      <c r="W166" s="50">
        <v>0.000166</v>
      </c>
      <c r="X166" s="50">
        <v>0.377337</v>
      </c>
      <c r="Y166" s="50">
        <v>0</v>
      </c>
      <c r="Z166" s="50">
        <v>0</v>
      </c>
      <c r="AA166" s="72">
        <v>166</v>
      </c>
      <c r="AB166" s="72"/>
      <c r="AC166" s="73"/>
      <c r="AD166" s="89" t="s">
        <v>1638</v>
      </c>
      <c r="AE166" s="102" t="s">
        <v>1388</v>
      </c>
      <c r="AF166" s="89">
        <v>2055</v>
      </c>
      <c r="AG166" s="89">
        <v>3078</v>
      </c>
      <c r="AH166" s="89">
        <v>30533</v>
      </c>
      <c r="AI166" s="89">
        <v>63149</v>
      </c>
      <c r="AJ166" s="89"/>
      <c r="AK166" s="89" t="s">
        <v>2102</v>
      </c>
      <c r="AL166" s="89" t="s">
        <v>2234</v>
      </c>
      <c r="AM166" s="89"/>
      <c r="AN166" s="89"/>
      <c r="AO166" s="92">
        <v>42285.536990740744</v>
      </c>
      <c r="AP166" s="95" t="str">
        <f>HYPERLINK("https://pbs.twimg.com/profile_banners/3899591261/1444566259")</f>
        <v>https://pbs.twimg.com/profile_banners/3899591261/1444566259</v>
      </c>
      <c r="AQ166" s="89" t="b">
        <v>0</v>
      </c>
      <c r="AR166" s="89" t="b">
        <v>0</v>
      </c>
      <c r="AS166" s="89" t="b">
        <v>0</v>
      </c>
      <c r="AT166" s="89"/>
      <c r="AU166" s="89">
        <v>41</v>
      </c>
      <c r="AV166" s="95" t="str">
        <f>HYPERLINK("https://abs.twimg.com/images/themes/theme1/bg.png")</f>
        <v>https://abs.twimg.com/images/themes/theme1/bg.png</v>
      </c>
      <c r="AW166" s="89" t="b">
        <v>0</v>
      </c>
      <c r="AX166" s="89" t="s">
        <v>2300</v>
      </c>
      <c r="AY166" s="95" t="str">
        <f>HYPERLINK("https://twitter.com/hituvati")</f>
        <v>https://twitter.com/hituvati</v>
      </c>
      <c r="AZ166" s="89" t="s">
        <v>65</v>
      </c>
      <c r="BA166" s="89"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293</v>
      </c>
      <c r="B167" s="66"/>
      <c r="C167" s="66" t="s">
        <v>46</v>
      </c>
      <c r="D167" s="67"/>
      <c r="E167" s="69"/>
      <c r="F167" s="111" t="str">
        <f>HYPERLINK("https://pbs.twimg.com/profile_images/1415571004072599552/ZaPgqb4X_normal.jpg")</f>
        <v>https://pbs.twimg.com/profile_images/1415571004072599552/ZaPgqb4X_normal.jpg</v>
      </c>
      <c r="G167" s="66"/>
      <c r="H167" s="70" t="s">
        <v>293</v>
      </c>
      <c r="I167" s="71" t="s">
        <v>5818</v>
      </c>
      <c r="J167" s="71" t="s">
        <v>73</v>
      </c>
      <c r="K167" s="70" t="s">
        <v>2464</v>
      </c>
      <c r="L167" s="74">
        <v>1</v>
      </c>
      <c r="M167" s="75">
        <v>2659.125244140625</v>
      </c>
      <c r="N167" s="75">
        <v>8235.8193359375</v>
      </c>
      <c r="O167" s="76"/>
      <c r="P167" s="77"/>
      <c r="Q167" s="77"/>
      <c r="R167" s="104"/>
      <c r="S167" s="49">
        <v>0</v>
      </c>
      <c r="T167" s="49">
        <v>1</v>
      </c>
      <c r="U167" s="50">
        <v>0</v>
      </c>
      <c r="V167" s="50">
        <v>0.000769</v>
      </c>
      <c r="W167" s="50">
        <v>0.000197</v>
      </c>
      <c r="X167" s="50">
        <v>0.419966</v>
      </c>
      <c r="Y167" s="50">
        <v>0</v>
      </c>
      <c r="Z167" s="50">
        <v>0</v>
      </c>
      <c r="AA167" s="72">
        <v>167</v>
      </c>
      <c r="AB167" s="72"/>
      <c r="AC167" s="73"/>
      <c r="AD167" s="89" t="s">
        <v>1639</v>
      </c>
      <c r="AE167" s="102" t="s">
        <v>1876</v>
      </c>
      <c r="AF167" s="89">
        <v>2107</v>
      </c>
      <c r="AG167" s="89">
        <v>718</v>
      </c>
      <c r="AH167" s="89">
        <v>19733</v>
      </c>
      <c r="AI167" s="89">
        <v>21919</v>
      </c>
      <c r="AJ167" s="89"/>
      <c r="AK167" s="89" t="s">
        <v>2103</v>
      </c>
      <c r="AL167" s="89"/>
      <c r="AM167" s="89"/>
      <c r="AN167" s="89"/>
      <c r="AO167" s="92">
        <v>44115.11697916667</v>
      </c>
      <c r="AP167" s="89"/>
      <c r="AQ167" s="89" t="b">
        <v>1</v>
      </c>
      <c r="AR167" s="89" t="b">
        <v>0</v>
      </c>
      <c r="AS167" s="89" t="b">
        <v>0</v>
      </c>
      <c r="AT167" s="89"/>
      <c r="AU167" s="89">
        <v>3</v>
      </c>
      <c r="AV167" s="89"/>
      <c r="AW167" s="89" t="b">
        <v>0</v>
      </c>
      <c r="AX167" s="89" t="s">
        <v>2300</v>
      </c>
      <c r="AY167" s="95" t="str">
        <f>HYPERLINK("https://twitter.com/universumin")</f>
        <v>https://twitter.com/universumin</v>
      </c>
      <c r="AZ167" s="89" t="s">
        <v>66</v>
      </c>
      <c r="BA167" s="89"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t="s">
        <v>5189</v>
      </c>
      <c r="BL167" s="49" t="s">
        <v>5189</v>
      </c>
      <c r="BM167" s="49" t="s">
        <v>693</v>
      </c>
      <c r="BN167" s="49" t="s">
        <v>693</v>
      </c>
      <c r="BO167" s="49" t="s">
        <v>712</v>
      </c>
      <c r="BP167" s="49" t="s">
        <v>712</v>
      </c>
      <c r="BQ167" s="123" t="s">
        <v>5590</v>
      </c>
      <c r="BR167" s="123" t="s">
        <v>5590</v>
      </c>
      <c r="BS167" s="123" t="s">
        <v>5742</v>
      </c>
      <c r="BT167" s="123" t="s">
        <v>5742</v>
      </c>
      <c r="BU167" s="2"/>
      <c r="BV167" s="3"/>
      <c r="BW167" s="3"/>
      <c r="BX167" s="3"/>
      <c r="BY167" s="3"/>
    </row>
    <row r="168" spans="1:77" ht="15">
      <c r="A168" s="65" t="s">
        <v>294</v>
      </c>
      <c r="B168" s="66"/>
      <c r="C168" s="66" t="s">
        <v>46</v>
      </c>
      <c r="D168" s="67"/>
      <c r="E168" s="69"/>
      <c r="F168" s="111" t="str">
        <f>HYPERLINK("https://abs.twimg.com/sticky/default_profile_images/default_profile_normal.png")</f>
        <v>https://abs.twimg.com/sticky/default_profile_images/default_profile_normal.png</v>
      </c>
      <c r="G168" s="66"/>
      <c r="H168" s="70" t="s">
        <v>294</v>
      </c>
      <c r="I168" s="71" t="s">
        <v>5818</v>
      </c>
      <c r="J168" s="71" t="s">
        <v>73</v>
      </c>
      <c r="K168" s="70" t="s">
        <v>2465</v>
      </c>
      <c r="L168" s="74">
        <v>1</v>
      </c>
      <c r="M168" s="75">
        <v>1679.270751953125</v>
      </c>
      <c r="N168" s="75">
        <v>7736.82373046875</v>
      </c>
      <c r="O168" s="76"/>
      <c r="P168" s="77"/>
      <c r="Q168" s="77"/>
      <c r="R168" s="104"/>
      <c r="S168" s="49">
        <v>0</v>
      </c>
      <c r="T168" s="49">
        <v>2</v>
      </c>
      <c r="U168" s="50">
        <v>0</v>
      </c>
      <c r="V168" s="50">
        <v>0.000891</v>
      </c>
      <c r="W168" s="50">
        <v>0.000667</v>
      </c>
      <c r="X168" s="50">
        <v>0.583431</v>
      </c>
      <c r="Y168" s="50">
        <v>1</v>
      </c>
      <c r="Z168" s="50">
        <v>0</v>
      </c>
      <c r="AA168" s="72">
        <v>168</v>
      </c>
      <c r="AB168" s="72"/>
      <c r="AC168" s="73"/>
      <c r="AD168" s="89" t="s">
        <v>1640</v>
      </c>
      <c r="AE168" s="102" t="s">
        <v>1877</v>
      </c>
      <c r="AF168" s="89">
        <v>43</v>
      </c>
      <c r="AG168" s="89">
        <v>33</v>
      </c>
      <c r="AH168" s="89">
        <v>647</v>
      </c>
      <c r="AI168" s="89">
        <v>7170</v>
      </c>
      <c r="AJ168" s="89"/>
      <c r="AK168" s="89"/>
      <c r="AL168" s="89"/>
      <c r="AM168" s="89"/>
      <c r="AN168" s="89"/>
      <c r="AO168" s="92">
        <v>44469.553819444445</v>
      </c>
      <c r="AP168" s="89"/>
      <c r="AQ168" s="89" t="b">
        <v>1</v>
      </c>
      <c r="AR168" s="89" t="b">
        <v>1</v>
      </c>
      <c r="AS168" s="89" t="b">
        <v>0</v>
      </c>
      <c r="AT168" s="89"/>
      <c r="AU168" s="89">
        <v>0</v>
      </c>
      <c r="AV168" s="89"/>
      <c r="AW168" s="89" t="b">
        <v>0</v>
      </c>
      <c r="AX168" s="89" t="s">
        <v>2300</v>
      </c>
      <c r="AY168" s="95" t="str">
        <f>HYPERLINK("https://twitter.com/heikkivienonen1")</f>
        <v>https://twitter.com/heikkivienonen1</v>
      </c>
      <c r="AZ168" s="89" t="s">
        <v>66</v>
      </c>
      <c r="BA168" s="89" t="str">
        <f>REPLACE(INDEX(GroupVertices[Group],MATCH(Vertices[[#This Row],[Vertex]],GroupVertices[Vertex],0)),1,1,"")</f>
        <v>1</v>
      </c>
      <c r="BB168" s="49">
        <v>0</v>
      </c>
      <c r="BC168" s="50">
        <v>0</v>
      </c>
      <c r="BD168" s="49">
        <v>0</v>
      </c>
      <c r="BE168" s="50">
        <v>0</v>
      </c>
      <c r="BF168" s="49">
        <v>0</v>
      </c>
      <c r="BG168" s="50">
        <v>0</v>
      </c>
      <c r="BH168" s="49">
        <v>24</v>
      </c>
      <c r="BI168" s="50">
        <v>100</v>
      </c>
      <c r="BJ168" s="49">
        <v>24</v>
      </c>
      <c r="BK168" s="49"/>
      <c r="BL168" s="49"/>
      <c r="BM168" s="49"/>
      <c r="BN168" s="49"/>
      <c r="BO168" s="49"/>
      <c r="BP168" s="49"/>
      <c r="BQ168" s="123" t="s">
        <v>5597</v>
      </c>
      <c r="BR168" s="123" t="s">
        <v>5597</v>
      </c>
      <c r="BS168" s="123" t="s">
        <v>5749</v>
      </c>
      <c r="BT168" s="123" t="s">
        <v>5749</v>
      </c>
      <c r="BU168" s="2"/>
      <c r="BV168" s="3"/>
      <c r="BW168" s="3"/>
      <c r="BX168" s="3"/>
      <c r="BY168" s="3"/>
    </row>
    <row r="169" spans="1:77" ht="15">
      <c r="A169" s="65" t="s">
        <v>303</v>
      </c>
      <c r="B169" s="66"/>
      <c r="C169" s="66" t="s">
        <v>64</v>
      </c>
      <c r="D169" s="67">
        <v>1000</v>
      </c>
      <c r="E169" s="69"/>
      <c r="F169" s="111" t="str">
        <f>HYPERLINK("https://pbs.twimg.com/profile_images/1206848632374407169/0UKXlQr4_normal.jpg")</f>
        <v>https://pbs.twimg.com/profile_images/1206848632374407169/0UKXlQr4_normal.jpg</v>
      </c>
      <c r="G169" s="66"/>
      <c r="H169" s="70" t="s">
        <v>303</v>
      </c>
      <c r="I169" s="71" t="s">
        <v>5818</v>
      </c>
      <c r="J169" s="71" t="s">
        <v>73</v>
      </c>
      <c r="K169" s="70" t="s">
        <v>2466</v>
      </c>
      <c r="L169" s="74">
        <v>2857.5714285714284</v>
      </c>
      <c r="M169" s="75">
        <v>1555.114013671875</v>
      </c>
      <c r="N169" s="75">
        <v>8073.42041015625</v>
      </c>
      <c r="O169" s="76"/>
      <c r="P169" s="77"/>
      <c r="Q169" s="77"/>
      <c r="R169" s="104"/>
      <c r="S169" s="49">
        <v>6</v>
      </c>
      <c r="T169" s="49">
        <v>3</v>
      </c>
      <c r="U169" s="50">
        <v>293.358462</v>
      </c>
      <c r="V169" s="50">
        <v>0.000985</v>
      </c>
      <c r="W169" s="50">
        <v>0.00189</v>
      </c>
      <c r="X169" s="50">
        <v>1.541541</v>
      </c>
      <c r="Y169" s="50">
        <v>0.2</v>
      </c>
      <c r="Z169" s="50">
        <v>0.4</v>
      </c>
      <c r="AA169" s="72">
        <v>169</v>
      </c>
      <c r="AB169" s="72"/>
      <c r="AC169" s="73"/>
      <c r="AD169" s="89" t="s">
        <v>1641</v>
      </c>
      <c r="AE169" s="102" t="s">
        <v>1396</v>
      </c>
      <c r="AF169" s="89">
        <v>53</v>
      </c>
      <c r="AG169" s="89">
        <v>106</v>
      </c>
      <c r="AH169" s="89">
        <v>2635</v>
      </c>
      <c r="AI169" s="89">
        <v>6538</v>
      </c>
      <c r="AJ169" s="89"/>
      <c r="AK169" s="89"/>
      <c r="AL169" s="89"/>
      <c r="AM169" s="89"/>
      <c r="AN169" s="89"/>
      <c r="AO169" s="92">
        <v>43816.33829861111</v>
      </c>
      <c r="AP169" s="89"/>
      <c r="AQ169" s="89" t="b">
        <v>1</v>
      </c>
      <c r="AR169" s="89" t="b">
        <v>0</v>
      </c>
      <c r="AS169" s="89" t="b">
        <v>0</v>
      </c>
      <c r="AT169" s="89"/>
      <c r="AU169" s="89">
        <v>0</v>
      </c>
      <c r="AV169" s="89"/>
      <c r="AW169" s="89" t="b">
        <v>0</v>
      </c>
      <c r="AX169" s="89" t="s">
        <v>2300</v>
      </c>
      <c r="AY169" s="95" t="str">
        <f>HYPERLINK("https://twitter.com/matti_lampi")</f>
        <v>https://twitter.com/matti_lampi</v>
      </c>
      <c r="AZ169" s="89" t="s">
        <v>66</v>
      </c>
      <c r="BA169" s="89" t="str">
        <f>REPLACE(INDEX(GroupVertices[Group],MATCH(Vertices[[#This Row],[Vertex]],GroupVertices[Vertex],0)),1,1,"")</f>
        <v>1</v>
      </c>
      <c r="BB169" s="49">
        <v>0</v>
      </c>
      <c r="BC169" s="50">
        <v>0</v>
      </c>
      <c r="BD169" s="49">
        <v>0</v>
      </c>
      <c r="BE169" s="50">
        <v>0</v>
      </c>
      <c r="BF169" s="49">
        <v>0</v>
      </c>
      <c r="BG169" s="50">
        <v>0</v>
      </c>
      <c r="BH169" s="49">
        <v>74</v>
      </c>
      <c r="BI169" s="50">
        <v>100</v>
      </c>
      <c r="BJ169" s="49">
        <v>74</v>
      </c>
      <c r="BK169" s="49" t="s">
        <v>5189</v>
      </c>
      <c r="BL169" s="49" t="s">
        <v>5189</v>
      </c>
      <c r="BM169" s="49" t="s">
        <v>693</v>
      </c>
      <c r="BN169" s="49" t="s">
        <v>693</v>
      </c>
      <c r="BO169" s="49"/>
      <c r="BP169" s="49"/>
      <c r="BQ169" s="123" t="s">
        <v>5597</v>
      </c>
      <c r="BR169" s="123" t="s">
        <v>5673</v>
      </c>
      <c r="BS169" s="123" t="s">
        <v>5750</v>
      </c>
      <c r="BT169" s="123" t="s">
        <v>5811</v>
      </c>
      <c r="BU169" s="2"/>
      <c r="BV169" s="3"/>
      <c r="BW169" s="3"/>
      <c r="BX169" s="3"/>
      <c r="BY169" s="3"/>
    </row>
    <row r="170" spans="1:77" ht="15">
      <c r="A170" s="65" t="s">
        <v>295</v>
      </c>
      <c r="B170" s="66"/>
      <c r="C170" s="66" t="s">
        <v>46</v>
      </c>
      <c r="D170" s="67">
        <v>10</v>
      </c>
      <c r="E170" s="69"/>
      <c r="F170" s="111" t="str">
        <f>HYPERLINK("https://pbs.twimg.com/profile_images/1460949338457350145/3L-YQZgw_normal.jpg")</f>
        <v>https://pbs.twimg.com/profile_images/1460949338457350145/3L-YQZgw_normal.jpg</v>
      </c>
      <c r="G170" s="66"/>
      <c r="H170" s="70" t="s">
        <v>295</v>
      </c>
      <c r="I170" s="71" t="s">
        <v>5818</v>
      </c>
      <c r="J170" s="71" t="s">
        <v>73</v>
      </c>
      <c r="K170" s="70" t="s">
        <v>2467</v>
      </c>
      <c r="L170" s="74">
        <v>477.0952380952381</v>
      </c>
      <c r="M170" s="75">
        <v>1349.014892578125</v>
      </c>
      <c r="N170" s="75">
        <v>7378.9423828125</v>
      </c>
      <c r="O170" s="76"/>
      <c r="P170" s="77"/>
      <c r="Q170" s="77"/>
      <c r="R170" s="104"/>
      <c r="S170" s="49">
        <v>1</v>
      </c>
      <c r="T170" s="49">
        <v>8</v>
      </c>
      <c r="U170" s="50">
        <v>10092.084285</v>
      </c>
      <c r="V170" s="50">
        <v>0.001174</v>
      </c>
      <c r="W170" s="50">
        <v>0.007901</v>
      </c>
      <c r="X170" s="50">
        <v>2.19088</v>
      </c>
      <c r="Y170" s="50">
        <v>0.09722222222222222</v>
      </c>
      <c r="Z170" s="50">
        <v>0</v>
      </c>
      <c r="AA170" s="72">
        <v>170</v>
      </c>
      <c r="AB170" s="72"/>
      <c r="AC170" s="73"/>
      <c r="AD170" s="89" t="s">
        <v>1642</v>
      </c>
      <c r="AE170" s="102" t="s">
        <v>1878</v>
      </c>
      <c r="AF170" s="89">
        <v>1647</v>
      </c>
      <c r="AG170" s="89">
        <v>1709</v>
      </c>
      <c r="AH170" s="89">
        <v>90546</v>
      </c>
      <c r="AI170" s="89">
        <v>160211</v>
      </c>
      <c r="AJ170" s="89"/>
      <c r="AK170" s="89" t="s">
        <v>2104</v>
      </c>
      <c r="AL170" s="89" t="s">
        <v>2267</v>
      </c>
      <c r="AM170" s="89"/>
      <c r="AN170" s="89"/>
      <c r="AO170" s="92">
        <v>43039.46876157408</v>
      </c>
      <c r="AP170" s="95" t="str">
        <f>HYPERLINK("https://pbs.twimg.com/profile_banners/925320196432244736/1633800015")</f>
        <v>https://pbs.twimg.com/profile_banners/925320196432244736/1633800015</v>
      </c>
      <c r="AQ170" s="89" t="b">
        <v>1</v>
      </c>
      <c r="AR170" s="89" t="b">
        <v>0</v>
      </c>
      <c r="AS170" s="89" t="b">
        <v>0</v>
      </c>
      <c r="AT170" s="89"/>
      <c r="AU170" s="89">
        <v>10</v>
      </c>
      <c r="AV170" s="89"/>
      <c r="AW170" s="89" t="b">
        <v>0</v>
      </c>
      <c r="AX170" s="89" t="s">
        <v>2300</v>
      </c>
      <c r="AY170" s="95" t="str">
        <f>HYPERLINK("https://twitter.com/madetojastig")</f>
        <v>https://twitter.com/madetojastig</v>
      </c>
      <c r="AZ170" s="89" t="s">
        <v>66</v>
      </c>
      <c r="BA170" s="89" t="str">
        <f>REPLACE(INDEX(GroupVertices[Group],MATCH(Vertices[[#This Row],[Vertex]],GroupVertices[Vertex],0)),1,1,"")</f>
        <v>1</v>
      </c>
      <c r="BB170" s="49">
        <v>0</v>
      </c>
      <c r="BC170" s="50">
        <v>0</v>
      </c>
      <c r="BD170" s="49">
        <v>0</v>
      </c>
      <c r="BE170" s="50">
        <v>0</v>
      </c>
      <c r="BF170" s="49">
        <v>0</v>
      </c>
      <c r="BG170" s="50">
        <v>0</v>
      </c>
      <c r="BH170" s="49">
        <v>95</v>
      </c>
      <c r="BI170" s="50">
        <v>100</v>
      </c>
      <c r="BJ170" s="49">
        <v>95</v>
      </c>
      <c r="BK170" s="49" t="s">
        <v>5513</v>
      </c>
      <c r="BL170" s="49" t="s">
        <v>5513</v>
      </c>
      <c r="BM170" s="49" t="s">
        <v>5525</v>
      </c>
      <c r="BN170" s="49" t="s">
        <v>5525</v>
      </c>
      <c r="BO170" s="49"/>
      <c r="BP170" s="49"/>
      <c r="BQ170" s="123" t="s">
        <v>5598</v>
      </c>
      <c r="BR170" s="123" t="s">
        <v>5674</v>
      </c>
      <c r="BS170" s="123" t="s">
        <v>5750</v>
      </c>
      <c r="BT170" s="123" t="s">
        <v>5750</v>
      </c>
      <c r="BU170" s="2"/>
      <c r="BV170" s="3"/>
      <c r="BW170" s="3"/>
      <c r="BX170" s="3"/>
      <c r="BY170" s="3"/>
    </row>
    <row r="171" spans="1:77" ht="15">
      <c r="A171" s="65" t="s">
        <v>461</v>
      </c>
      <c r="B171" s="66"/>
      <c r="C171" s="66" t="s">
        <v>64</v>
      </c>
      <c r="D171" s="67">
        <v>617.0157208378039</v>
      </c>
      <c r="E171" s="69"/>
      <c r="F171" s="111" t="str">
        <f>HYPERLINK("https://pbs.twimg.com/profile_images/1426995194994610185/N_l5q77d_normal.jpg")</f>
        <v>https://pbs.twimg.com/profile_images/1426995194994610185/N_l5q77d_normal.jpg</v>
      </c>
      <c r="G171" s="66"/>
      <c r="H171" s="70" t="s">
        <v>461</v>
      </c>
      <c r="I171" s="71" t="s">
        <v>5835</v>
      </c>
      <c r="J171" s="71" t="s">
        <v>75</v>
      </c>
      <c r="K171" s="70" t="s">
        <v>2468</v>
      </c>
      <c r="L171" s="74">
        <v>1429.2857142857142</v>
      </c>
      <c r="M171" s="75">
        <v>7778.4775390625</v>
      </c>
      <c r="N171" s="75">
        <v>448.82293701171875</v>
      </c>
      <c r="O171" s="76"/>
      <c r="P171" s="77"/>
      <c r="Q171" s="77"/>
      <c r="R171" s="104"/>
      <c r="S171" s="49">
        <v>3</v>
      </c>
      <c r="T171" s="49">
        <v>0</v>
      </c>
      <c r="U171" s="50">
        <v>972</v>
      </c>
      <c r="V171" s="50">
        <v>0.000797</v>
      </c>
      <c r="W171" s="50">
        <v>0.000712</v>
      </c>
      <c r="X171" s="50">
        <v>1.031498</v>
      </c>
      <c r="Y171" s="50">
        <v>0.16666666666666666</v>
      </c>
      <c r="Z171" s="50">
        <v>0</v>
      </c>
      <c r="AA171" s="72">
        <v>171</v>
      </c>
      <c r="AB171" s="72"/>
      <c r="AC171" s="73"/>
      <c r="AD171" s="89" t="s">
        <v>1643</v>
      </c>
      <c r="AE171" s="102" t="s">
        <v>1371</v>
      </c>
      <c r="AF171" s="89">
        <v>1244</v>
      </c>
      <c r="AG171" s="89">
        <v>3635</v>
      </c>
      <c r="AH171" s="89">
        <v>52951</v>
      </c>
      <c r="AI171" s="89">
        <v>103911</v>
      </c>
      <c r="AJ171" s="89"/>
      <c r="AK171" s="89" t="s">
        <v>2105</v>
      </c>
      <c r="AL171" s="89" t="s">
        <v>2223</v>
      </c>
      <c r="AM171" s="89"/>
      <c r="AN171" s="89"/>
      <c r="AO171" s="92">
        <v>40652.47105324074</v>
      </c>
      <c r="AP171" s="95" t="str">
        <f>HYPERLINK("https://pbs.twimg.com/profile_banners/284488270/1401344832")</f>
        <v>https://pbs.twimg.com/profile_banners/284488270/1401344832</v>
      </c>
      <c r="AQ171" s="89" t="b">
        <v>0</v>
      </c>
      <c r="AR171" s="89" t="b">
        <v>0</v>
      </c>
      <c r="AS171" s="89" t="b">
        <v>0</v>
      </c>
      <c r="AT171" s="89"/>
      <c r="AU171" s="89">
        <v>16</v>
      </c>
      <c r="AV171" s="95" t="str">
        <f>HYPERLINK("https://abs.twimg.com/images/themes/theme10/bg.gif")</f>
        <v>https://abs.twimg.com/images/themes/theme10/bg.gif</v>
      </c>
      <c r="AW171" s="89" t="b">
        <v>0</v>
      </c>
      <c r="AX171" s="89" t="s">
        <v>2300</v>
      </c>
      <c r="AY171" s="95" t="str">
        <f>HYPERLINK("https://twitter.com/jyrkikononen")</f>
        <v>https://twitter.com/jyrkikononen</v>
      </c>
      <c r="AZ171" s="89" t="s">
        <v>65</v>
      </c>
      <c r="BA171" s="89"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296</v>
      </c>
      <c r="B172" s="66"/>
      <c r="C172" s="66" t="s">
        <v>46</v>
      </c>
      <c r="D172" s="67"/>
      <c r="E172" s="69"/>
      <c r="F172" s="111" t="str">
        <f>HYPERLINK("https://pbs.twimg.com/profile_images/1433001880058318852/-pyuOlmA_normal.jpg")</f>
        <v>https://pbs.twimg.com/profile_images/1433001880058318852/-pyuOlmA_normal.jpg</v>
      </c>
      <c r="G172" s="66"/>
      <c r="H172" s="70" t="s">
        <v>296</v>
      </c>
      <c r="I172" s="71" t="s">
        <v>5834</v>
      </c>
      <c r="J172" s="71" t="s">
        <v>73</v>
      </c>
      <c r="K172" s="70" t="s">
        <v>2469</v>
      </c>
      <c r="L172" s="74">
        <v>1</v>
      </c>
      <c r="M172" s="75">
        <v>3897.86962890625</v>
      </c>
      <c r="N172" s="75">
        <v>1667.3873291015625</v>
      </c>
      <c r="O172" s="76"/>
      <c r="P172" s="77"/>
      <c r="Q172" s="77"/>
      <c r="R172" s="104"/>
      <c r="S172" s="49">
        <v>0</v>
      </c>
      <c r="T172" s="49">
        <v>3</v>
      </c>
      <c r="U172" s="50">
        <v>0.111111</v>
      </c>
      <c r="V172" s="50">
        <v>0.000873</v>
      </c>
      <c r="W172" s="50">
        <v>0.020768000000000002</v>
      </c>
      <c r="X172" s="50">
        <v>0.627945</v>
      </c>
      <c r="Y172" s="50">
        <v>0.3333333333333333</v>
      </c>
      <c r="Z172" s="50">
        <v>0</v>
      </c>
      <c r="AA172" s="72">
        <v>172</v>
      </c>
      <c r="AB172" s="72"/>
      <c r="AC172" s="73"/>
      <c r="AD172" s="89" t="s">
        <v>1644</v>
      </c>
      <c r="AE172" s="102" t="s">
        <v>1879</v>
      </c>
      <c r="AF172" s="89">
        <v>201</v>
      </c>
      <c r="AG172" s="89">
        <v>118</v>
      </c>
      <c r="AH172" s="89">
        <v>2302</v>
      </c>
      <c r="AI172" s="89">
        <v>2867</v>
      </c>
      <c r="AJ172" s="89"/>
      <c r="AK172" s="89" t="s">
        <v>2106</v>
      </c>
      <c r="AL172" s="89"/>
      <c r="AM172" s="89"/>
      <c r="AN172" s="89"/>
      <c r="AO172" s="92">
        <v>44440.31759259259</v>
      </c>
      <c r="AP172" s="95" t="str">
        <f>HYPERLINK("https://pbs.twimg.com/profile_banners/1432970722331222017/1630489688")</f>
        <v>https://pbs.twimg.com/profile_banners/1432970722331222017/1630489688</v>
      </c>
      <c r="AQ172" s="89" t="b">
        <v>1</v>
      </c>
      <c r="AR172" s="89" t="b">
        <v>0</v>
      </c>
      <c r="AS172" s="89" t="b">
        <v>0</v>
      </c>
      <c r="AT172" s="89"/>
      <c r="AU172" s="89">
        <v>0</v>
      </c>
      <c r="AV172" s="89"/>
      <c r="AW172" s="89" t="b">
        <v>0</v>
      </c>
      <c r="AX172" s="89" t="s">
        <v>2300</v>
      </c>
      <c r="AY172" s="95" t="str">
        <f>HYPERLINK("https://twitter.com/vyyhdinpurkaja")</f>
        <v>https://twitter.com/vyyhdinpurkaja</v>
      </c>
      <c r="AZ172" s="89" t="s">
        <v>66</v>
      </c>
      <c r="BA172" s="89" t="str">
        <f>REPLACE(INDEX(GroupVertices[Group],MATCH(Vertices[[#This Row],[Vertex]],GroupVertices[Vertex],0)),1,1,"")</f>
        <v>3</v>
      </c>
      <c r="BB172" s="49">
        <v>0</v>
      </c>
      <c r="BC172" s="50">
        <v>0</v>
      </c>
      <c r="BD172" s="49">
        <v>0</v>
      </c>
      <c r="BE172" s="50">
        <v>0</v>
      </c>
      <c r="BF172" s="49">
        <v>0</v>
      </c>
      <c r="BG172" s="50">
        <v>0</v>
      </c>
      <c r="BH172" s="49">
        <v>13</v>
      </c>
      <c r="BI172" s="50">
        <v>100</v>
      </c>
      <c r="BJ172" s="49">
        <v>13</v>
      </c>
      <c r="BK172" s="49"/>
      <c r="BL172" s="49"/>
      <c r="BM172" s="49"/>
      <c r="BN172" s="49"/>
      <c r="BO172" s="49" t="s">
        <v>712</v>
      </c>
      <c r="BP172" s="49" t="s">
        <v>712</v>
      </c>
      <c r="BQ172" s="123" t="s">
        <v>5561</v>
      </c>
      <c r="BR172" s="123" t="s">
        <v>5561</v>
      </c>
      <c r="BS172" s="123" t="s">
        <v>5713</v>
      </c>
      <c r="BT172" s="123" t="s">
        <v>5713</v>
      </c>
      <c r="BU172" s="2"/>
      <c r="BV172" s="3"/>
      <c r="BW172" s="3"/>
      <c r="BX172" s="3"/>
      <c r="BY172" s="3"/>
    </row>
    <row r="173" spans="1:77" ht="15">
      <c r="A173" s="65" t="s">
        <v>462</v>
      </c>
      <c r="B173" s="66"/>
      <c r="C173" s="66" t="s">
        <v>46</v>
      </c>
      <c r="D173" s="67">
        <v>10</v>
      </c>
      <c r="E173" s="69"/>
      <c r="F173" s="111" t="str">
        <f>HYPERLINK("https://pbs.twimg.com/profile_images/450689863340142592/Kt3tiSj-_normal.png")</f>
        <v>https://pbs.twimg.com/profile_images/450689863340142592/Kt3tiSj-_normal.png</v>
      </c>
      <c r="G173" s="66"/>
      <c r="H173" s="70" t="s">
        <v>462</v>
      </c>
      <c r="I173" s="71" t="s">
        <v>5821</v>
      </c>
      <c r="J173" s="71" t="s">
        <v>75</v>
      </c>
      <c r="K173" s="70" t="s">
        <v>2470</v>
      </c>
      <c r="L173" s="74">
        <v>477.0952380952381</v>
      </c>
      <c r="M173" s="75">
        <v>896.3113403320312</v>
      </c>
      <c r="N173" s="75">
        <v>3819.057861328125</v>
      </c>
      <c r="O173" s="76"/>
      <c r="P173" s="77"/>
      <c r="Q173" s="77"/>
      <c r="R173" s="104"/>
      <c r="S173" s="49">
        <v>1</v>
      </c>
      <c r="T173" s="49">
        <v>0</v>
      </c>
      <c r="U173" s="50">
        <v>0</v>
      </c>
      <c r="V173" s="50">
        <v>0.000763</v>
      </c>
      <c r="W173" s="50">
        <v>0.000207</v>
      </c>
      <c r="X173" s="50">
        <v>0.406206</v>
      </c>
      <c r="Y173" s="50">
        <v>0</v>
      </c>
      <c r="Z173" s="50">
        <v>0</v>
      </c>
      <c r="AA173" s="72">
        <v>173</v>
      </c>
      <c r="AB173" s="72"/>
      <c r="AC173" s="73"/>
      <c r="AD173" s="89" t="s">
        <v>1645</v>
      </c>
      <c r="AE173" s="102" t="s">
        <v>1880</v>
      </c>
      <c r="AF173" s="89">
        <v>623</v>
      </c>
      <c r="AG173" s="89">
        <v>99</v>
      </c>
      <c r="AH173" s="89">
        <v>3638</v>
      </c>
      <c r="AI173" s="89">
        <v>7641</v>
      </c>
      <c r="AJ173" s="89"/>
      <c r="AK173" s="89" t="s">
        <v>2107</v>
      </c>
      <c r="AL173" s="89"/>
      <c r="AM173" s="89"/>
      <c r="AN173" s="89"/>
      <c r="AO173" s="92">
        <v>41199.48677083333</v>
      </c>
      <c r="AP173" s="89"/>
      <c r="AQ173" s="89" t="b">
        <v>1</v>
      </c>
      <c r="AR173" s="89" t="b">
        <v>0</v>
      </c>
      <c r="AS173" s="89" t="b">
        <v>0</v>
      </c>
      <c r="AT173" s="89"/>
      <c r="AU173" s="89">
        <v>0</v>
      </c>
      <c r="AV173" s="95" t="str">
        <f>HYPERLINK("https://abs.twimg.com/images/themes/theme1/bg.png")</f>
        <v>https://abs.twimg.com/images/themes/theme1/bg.png</v>
      </c>
      <c r="AW173" s="89" t="b">
        <v>0</v>
      </c>
      <c r="AX173" s="89" t="s">
        <v>2300</v>
      </c>
      <c r="AY173" s="95" t="str">
        <f>HYPERLINK("https://twitter.com/vsavela")</f>
        <v>https://twitter.com/vsavela</v>
      </c>
      <c r="AZ173" s="89" t="s">
        <v>65</v>
      </c>
      <c r="BA173" s="89"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463</v>
      </c>
      <c r="B174" s="66"/>
      <c r="C174" s="66" t="s">
        <v>46</v>
      </c>
      <c r="D174" s="67">
        <v>10</v>
      </c>
      <c r="E174" s="69"/>
      <c r="F174" s="111" t="str">
        <f>HYPERLINK("https://pbs.twimg.com/profile_images/1447119674236358656/x289duDh_normal.jpg")</f>
        <v>https://pbs.twimg.com/profile_images/1447119674236358656/x289duDh_normal.jpg</v>
      </c>
      <c r="G174" s="66"/>
      <c r="H174" s="70" t="s">
        <v>463</v>
      </c>
      <c r="I174" s="71" t="s">
        <v>5821</v>
      </c>
      <c r="J174" s="71" t="s">
        <v>75</v>
      </c>
      <c r="K174" s="70" t="s">
        <v>2471</v>
      </c>
      <c r="L174" s="74">
        <v>477.0952380952381</v>
      </c>
      <c r="M174" s="75">
        <v>687.3988647460938</v>
      </c>
      <c r="N174" s="75">
        <v>3984.012939453125</v>
      </c>
      <c r="O174" s="76"/>
      <c r="P174" s="77"/>
      <c r="Q174" s="77"/>
      <c r="R174" s="104"/>
      <c r="S174" s="49">
        <v>1</v>
      </c>
      <c r="T174" s="49">
        <v>0</v>
      </c>
      <c r="U174" s="50">
        <v>0</v>
      </c>
      <c r="V174" s="50">
        <v>0.000763</v>
      </c>
      <c r="W174" s="50">
        <v>0.000207</v>
      </c>
      <c r="X174" s="50">
        <v>0.406206</v>
      </c>
      <c r="Y174" s="50">
        <v>0</v>
      </c>
      <c r="Z174" s="50">
        <v>0</v>
      </c>
      <c r="AA174" s="72">
        <v>174</v>
      </c>
      <c r="AB174" s="72"/>
      <c r="AC174" s="73"/>
      <c r="AD174" s="89" t="s">
        <v>1646</v>
      </c>
      <c r="AE174" s="102" t="s">
        <v>1390</v>
      </c>
      <c r="AF174" s="89">
        <v>0</v>
      </c>
      <c r="AG174" s="89">
        <v>31</v>
      </c>
      <c r="AH174" s="89">
        <v>1116</v>
      </c>
      <c r="AI174" s="89">
        <v>2880</v>
      </c>
      <c r="AJ174" s="89"/>
      <c r="AK174" s="89" t="s">
        <v>2108</v>
      </c>
      <c r="AL174" s="89" t="s">
        <v>2223</v>
      </c>
      <c r="AM174" s="89"/>
      <c r="AN174" s="89"/>
      <c r="AO174" s="92">
        <v>43818.24915509259</v>
      </c>
      <c r="AP174" s="95" t="str">
        <f>HYPERLINK("https://pbs.twimg.com/profile_banners/1207540662549254144/1635790043")</f>
        <v>https://pbs.twimg.com/profile_banners/1207540662549254144/1635790043</v>
      </c>
      <c r="AQ174" s="89" t="b">
        <v>1</v>
      </c>
      <c r="AR174" s="89" t="b">
        <v>0</v>
      </c>
      <c r="AS174" s="89" t="b">
        <v>0</v>
      </c>
      <c r="AT174" s="89"/>
      <c r="AU174" s="89">
        <v>0</v>
      </c>
      <c r="AV174" s="89"/>
      <c r="AW174" s="89" t="b">
        <v>0</v>
      </c>
      <c r="AX174" s="89" t="s">
        <v>2300</v>
      </c>
      <c r="AY174" s="95" t="str">
        <f>HYPERLINK("https://twitter.com/hannon_harriet")</f>
        <v>https://twitter.com/hannon_harriet</v>
      </c>
      <c r="AZ174" s="89" t="s">
        <v>65</v>
      </c>
      <c r="BA174" s="89"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464</v>
      </c>
      <c r="B175" s="66"/>
      <c r="C175" s="66" t="s">
        <v>46</v>
      </c>
      <c r="D175" s="67">
        <v>10</v>
      </c>
      <c r="E175" s="69"/>
      <c r="F175" s="111" t="str">
        <f>HYPERLINK("https://pbs.twimg.com/profile_images/1147012106895732737/qurpKafL_normal.png")</f>
        <v>https://pbs.twimg.com/profile_images/1147012106895732737/qurpKafL_normal.png</v>
      </c>
      <c r="G175" s="66"/>
      <c r="H175" s="70" t="s">
        <v>464</v>
      </c>
      <c r="I175" s="71" t="s">
        <v>5821</v>
      </c>
      <c r="J175" s="71" t="s">
        <v>75</v>
      </c>
      <c r="K175" s="70" t="s">
        <v>2472</v>
      </c>
      <c r="L175" s="74">
        <v>477.0952380952381</v>
      </c>
      <c r="M175" s="75">
        <v>923.2011108398438</v>
      </c>
      <c r="N175" s="75">
        <v>4152.2783203125</v>
      </c>
      <c r="O175" s="76"/>
      <c r="P175" s="77"/>
      <c r="Q175" s="77"/>
      <c r="R175" s="104"/>
      <c r="S175" s="49">
        <v>1</v>
      </c>
      <c r="T175" s="49">
        <v>0</v>
      </c>
      <c r="U175" s="50">
        <v>0</v>
      </c>
      <c r="V175" s="50">
        <v>0.000763</v>
      </c>
      <c r="W175" s="50">
        <v>0.000207</v>
      </c>
      <c r="X175" s="50">
        <v>0.406206</v>
      </c>
      <c r="Y175" s="50">
        <v>0</v>
      </c>
      <c r="Z175" s="50">
        <v>0</v>
      </c>
      <c r="AA175" s="72">
        <v>175</v>
      </c>
      <c r="AB175" s="72"/>
      <c r="AC175" s="73"/>
      <c r="AD175" s="89" t="s">
        <v>1647</v>
      </c>
      <c r="AE175" s="102" t="s">
        <v>1391</v>
      </c>
      <c r="AF175" s="89">
        <v>631</v>
      </c>
      <c r="AG175" s="89">
        <v>505</v>
      </c>
      <c r="AH175" s="89">
        <v>2170</v>
      </c>
      <c r="AI175" s="89">
        <v>6292</v>
      </c>
      <c r="AJ175" s="89"/>
      <c r="AK175" s="89" t="s">
        <v>2109</v>
      </c>
      <c r="AL175" s="89" t="s">
        <v>2268</v>
      </c>
      <c r="AM175" s="89"/>
      <c r="AN175" s="89"/>
      <c r="AO175" s="92">
        <v>42414.43388888889</v>
      </c>
      <c r="AP175" s="95" t="str">
        <f>HYPERLINK("https://pbs.twimg.com/profile_banners/698815144151928832/1472188523")</f>
        <v>https://pbs.twimg.com/profile_banners/698815144151928832/1472188523</v>
      </c>
      <c r="AQ175" s="89" t="b">
        <v>1</v>
      </c>
      <c r="AR175" s="89" t="b">
        <v>0</v>
      </c>
      <c r="AS175" s="89" t="b">
        <v>0</v>
      </c>
      <c r="AT175" s="89"/>
      <c r="AU175" s="89">
        <v>2</v>
      </c>
      <c r="AV175" s="89"/>
      <c r="AW175" s="89" t="b">
        <v>0</v>
      </c>
      <c r="AX175" s="89" t="s">
        <v>2300</v>
      </c>
      <c r="AY175" s="95" t="str">
        <f>HYPERLINK("https://twitter.com/svarmavuo")</f>
        <v>https://twitter.com/svarmavuo</v>
      </c>
      <c r="AZ175" s="89" t="s">
        <v>65</v>
      </c>
      <c r="BA175" s="89"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465</v>
      </c>
      <c r="B176" s="66"/>
      <c r="C176" s="66" t="s">
        <v>64</v>
      </c>
      <c r="D176" s="67">
        <v>392.9842791621962</v>
      </c>
      <c r="E176" s="69"/>
      <c r="F176" s="111" t="str">
        <f>HYPERLINK("https://pbs.twimg.com/profile_images/1382195848667410432/x_e9_Xng_normal.jpg")</f>
        <v>https://pbs.twimg.com/profile_images/1382195848667410432/x_e9_Xng_normal.jpg</v>
      </c>
      <c r="G176" s="66"/>
      <c r="H176" s="70" t="s">
        <v>465</v>
      </c>
      <c r="I176" s="71" t="s">
        <v>5821</v>
      </c>
      <c r="J176" s="71" t="s">
        <v>75</v>
      </c>
      <c r="K176" s="70" t="s">
        <v>2473</v>
      </c>
      <c r="L176" s="74">
        <v>953.1904761904761</v>
      </c>
      <c r="M176" s="75">
        <v>805.9420776367188</v>
      </c>
      <c r="N176" s="75">
        <v>3220.64599609375</v>
      </c>
      <c r="O176" s="76"/>
      <c r="P176" s="77"/>
      <c r="Q176" s="77"/>
      <c r="R176" s="104"/>
      <c r="S176" s="49">
        <v>2</v>
      </c>
      <c r="T176" s="49">
        <v>0</v>
      </c>
      <c r="U176" s="50">
        <v>11</v>
      </c>
      <c r="V176" s="50">
        <v>0.000769</v>
      </c>
      <c r="W176" s="50">
        <v>0.000356</v>
      </c>
      <c r="X176" s="50">
        <v>0.635466</v>
      </c>
      <c r="Y176" s="50">
        <v>0</v>
      </c>
      <c r="Z176" s="50">
        <v>0</v>
      </c>
      <c r="AA176" s="72">
        <v>176</v>
      </c>
      <c r="AB176" s="72"/>
      <c r="AC176" s="73"/>
      <c r="AD176" s="89" t="s">
        <v>1648</v>
      </c>
      <c r="AE176" s="102" t="s">
        <v>1881</v>
      </c>
      <c r="AF176" s="89">
        <v>977</v>
      </c>
      <c r="AG176" s="89">
        <v>408</v>
      </c>
      <c r="AH176" s="89">
        <v>8459</v>
      </c>
      <c r="AI176" s="89">
        <v>5244</v>
      </c>
      <c r="AJ176" s="89"/>
      <c r="AK176" s="89" t="s">
        <v>2110</v>
      </c>
      <c r="AL176" s="89" t="s">
        <v>2269</v>
      </c>
      <c r="AM176" s="89"/>
      <c r="AN176" s="89"/>
      <c r="AO176" s="92">
        <v>41962.78077546296</v>
      </c>
      <c r="AP176" s="95" t="str">
        <f>HYPERLINK("https://pbs.twimg.com/profile_banners/2884523091/1623001686")</f>
        <v>https://pbs.twimg.com/profile_banners/2884523091/1623001686</v>
      </c>
      <c r="AQ176" s="89" t="b">
        <v>1</v>
      </c>
      <c r="AR176" s="89" t="b">
        <v>0</v>
      </c>
      <c r="AS176" s="89" t="b">
        <v>0</v>
      </c>
      <c r="AT176" s="89"/>
      <c r="AU176" s="89">
        <v>5</v>
      </c>
      <c r="AV176" s="95" t="str">
        <f>HYPERLINK("https://abs.twimg.com/images/themes/theme1/bg.png")</f>
        <v>https://abs.twimg.com/images/themes/theme1/bg.png</v>
      </c>
      <c r="AW176" s="89" t="b">
        <v>0</v>
      </c>
      <c r="AX176" s="89" t="s">
        <v>2300</v>
      </c>
      <c r="AY176" s="95" t="str">
        <f>HYPERLINK("https://twitter.com/jonnasep")</f>
        <v>https://twitter.com/jonnasep</v>
      </c>
      <c r="AZ176" s="89" t="s">
        <v>65</v>
      </c>
      <c r="BA176" s="89"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350</v>
      </c>
      <c r="B177" s="66"/>
      <c r="C177" s="66" t="s">
        <v>64</v>
      </c>
      <c r="D177" s="67">
        <v>392.9842791621962</v>
      </c>
      <c r="E177" s="69"/>
      <c r="F177" s="111" t="str">
        <f>HYPERLINK("https://pbs.twimg.com/profile_images/832336305023545344/l9HpngIg_normal.jpg")</f>
        <v>https://pbs.twimg.com/profile_images/832336305023545344/l9HpngIg_normal.jpg</v>
      </c>
      <c r="G177" s="66"/>
      <c r="H177" s="70" t="s">
        <v>350</v>
      </c>
      <c r="I177" s="71" t="s">
        <v>5822</v>
      </c>
      <c r="J177" s="71" t="s">
        <v>73</v>
      </c>
      <c r="K177" s="70" t="s">
        <v>2474</v>
      </c>
      <c r="L177" s="74">
        <v>953.1904761904761</v>
      </c>
      <c r="M177" s="75">
        <v>6553.931640625</v>
      </c>
      <c r="N177" s="75">
        <v>8140.736328125</v>
      </c>
      <c r="O177" s="76"/>
      <c r="P177" s="77"/>
      <c r="Q177" s="77"/>
      <c r="R177" s="104"/>
      <c r="S177" s="49">
        <v>2</v>
      </c>
      <c r="T177" s="49">
        <v>4</v>
      </c>
      <c r="U177" s="50">
        <v>1185.915658</v>
      </c>
      <c r="V177" s="50">
        <v>0.000942</v>
      </c>
      <c r="W177" s="50">
        <v>0.001776</v>
      </c>
      <c r="X177" s="50">
        <v>1.433339</v>
      </c>
      <c r="Y177" s="50">
        <v>0.15</v>
      </c>
      <c r="Z177" s="50">
        <v>0.2</v>
      </c>
      <c r="AA177" s="72">
        <v>177</v>
      </c>
      <c r="AB177" s="72"/>
      <c r="AC177" s="73"/>
      <c r="AD177" s="89" t="s">
        <v>1575</v>
      </c>
      <c r="AE177" s="102" t="s">
        <v>1882</v>
      </c>
      <c r="AF177" s="89">
        <v>493</v>
      </c>
      <c r="AG177" s="89">
        <v>755</v>
      </c>
      <c r="AH177" s="89">
        <v>12649</v>
      </c>
      <c r="AI177" s="89">
        <v>54055</v>
      </c>
      <c r="AJ177" s="89"/>
      <c r="AK177" s="89" t="s">
        <v>2111</v>
      </c>
      <c r="AL177" s="89"/>
      <c r="AM177" s="89"/>
      <c r="AN177" s="89"/>
      <c r="AO177" s="92">
        <v>42761.22247685185</v>
      </c>
      <c r="AP177" s="95" t="str">
        <f>HYPERLINK("https://pbs.twimg.com/profile_banners/824487121201299456/1613804786")</f>
        <v>https://pbs.twimg.com/profile_banners/824487121201299456/1613804786</v>
      </c>
      <c r="AQ177" s="89" t="b">
        <v>1</v>
      </c>
      <c r="AR177" s="89" t="b">
        <v>0</v>
      </c>
      <c r="AS177" s="89" t="b">
        <v>1</v>
      </c>
      <c r="AT177" s="89"/>
      <c r="AU177" s="89">
        <v>5</v>
      </c>
      <c r="AV177" s="89"/>
      <c r="AW177" s="89" t="b">
        <v>0</v>
      </c>
      <c r="AX177" s="89" t="s">
        <v>2300</v>
      </c>
      <c r="AY177" s="95" t="str">
        <f>HYPERLINK("https://twitter.com/sujofin")</f>
        <v>https://twitter.com/sujofin</v>
      </c>
      <c r="AZ177" s="89" t="s">
        <v>66</v>
      </c>
      <c r="BA177" s="89" t="str">
        <f>REPLACE(INDEX(GroupVertices[Group],MATCH(Vertices[[#This Row],[Vertex]],GroupVertices[Vertex],0)),1,1,"")</f>
        <v>5</v>
      </c>
      <c r="BB177" s="49">
        <v>0</v>
      </c>
      <c r="BC177" s="50">
        <v>0</v>
      </c>
      <c r="BD177" s="49">
        <v>0</v>
      </c>
      <c r="BE177" s="50">
        <v>0</v>
      </c>
      <c r="BF177" s="49">
        <v>0</v>
      </c>
      <c r="BG177" s="50">
        <v>0</v>
      </c>
      <c r="BH177" s="49">
        <v>33</v>
      </c>
      <c r="BI177" s="50">
        <v>100</v>
      </c>
      <c r="BJ177" s="49">
        <v>33</v>
      </c>
      <c r="BK177" s="49"/>
      <c r="BL177" s="49"/>
      <c r="BM177" s="49"/>
      <c r="BN177" s="49"/>
      <c r="BO177" s="49"/>
      <c r="BP177" s="49"/>
      <c r="BQ177" s="123" t="s">
        <v>5599</v>
      </c>
      <c r="BR177" s="123" t="s">
        <v>5599</v>
      </c>
      <c r="BS177" s="123" t="s">
        <v>5751</v>
      </c>
      <c r="BT177" s="123" t="s">
        <v>5751</v>
      </c>
      <c r="BU177" s="2"/>
      <c r="BV177" s="3"/>
      <c r="BW177" s="3"/>
      <c r="BX177" s="3"/>
      <c r="BY177" s="3"/>
    </row>
    <row r="178" spans="1:77" ht="15">
      <c r="A178" s="65" t="s">
        <v>298</v>
      </c>
      <c r="B178" s="66"/>
      <c r="C178" s="66" t="s">
        <v>46</v>
      </c>
      <c r="D178" s="67"/>
      <c r="E178" s="69"/>
      <c r="F178" s="111" t="str">
        <f>HYPERLINK("https://pbs.twimg.com/profile_images/701657230790291456/-DQAp_1h_normal.jpg")</f>
        <v>https://pbs.twimg.com/profile_images/701657230790291456/-DQAp_1h_normal.jpg</v>
      </c>
      <c r="G178" s="66"/>
      <c r="H178" s="70" t="s">
        <v>298</v>
      </c>
      <c r="I178" s="71" t="s">
        <v>5821</v>
      </c>
      <c r="J178" s="71" t="s">
        <v>73</v>
      </c>
      <c r="K178" s="70" t="s">
        <v>2475</v>
      </c>
      <c r="L178" s="74">
        <v>1</v>
      </c>
      <c r="M178" s="75">
        <v>1660.0648193359375</v>
      </c>
      <c r="N178" s="75">
        <v>3202.335205078125</v>
      </c>
      <c r="O178" s="76"/>
      <c r="P178" s="77"/>
      <c r="Q178" s="77"/>
      <c r="R178" s="104"/>
      <c r="S178" s="49">
        <v>0</v>
      </c>
      <c r="T178" s="49">
        <v>2</v>
      </c>
      <c r="U178" s="50">
        <v>0.095238</v>
      </c>
      <c r="V178" s="50">
        <v>0.000889</v>
      </c>
      <c r="W178" s="50">
        <v>0.001008</v>
      </c>
      <c r="X178" s="50">
        <v>0.538261</v>
      </c>
      <c r="Y178" s="50">
        <v>0</v>
      </c>
      <c r="Z178" s="50">
        <v>0</v>
      </c>
      <c r="AA178" s="72">
        <v>178</v>
      </c>
      <c r="AB178" s="72"/>
      <c r="AC178" s="73"/>
      <c r="AD178" s="89" t="s">
        <v>1649</v>
      </c>
      <c r="AE178" s="102" t="s">
        <v>1883</v>
      </c>
      <c r="AF178" s="89">
        <v>6</v>
      </c>
      <c r="AG178" s="89">
        <v>69</v>
      </c>
      <c r="AH178" s="89">
        <v>9875</v>
      </c>
      <c r="AI178" s="89">
        <v>11313</v>
      </c>
      <c r="AJ178" s="89"/>
      <c r="AK178" s="89" t="s">
        <v>2112</v>
      </c>
      <c r="AL178" s="89"/>
      <c r="AM178" s="89"/>
      <c r="AN178" s="89"/>
      <c r="AO178" s="92">
        <v>42406.255902777775</v>
      </c>
      <c r="AP178" s="89"/>
      <c r="AQ178" s="89" t="b">
        <v>0</v>
      </c>
      <c r="AR178" s="89" t="b">
        <v>0</v>
      </c>
      <c r="AS178" s="89" t="b">
        <v>0</v>
      </c>
      <c r="AT178" s="89"/>
      <c r="AU178" s="89">
        <v>0</v>
      </c>
      <c r="AV178" s="95" t="str">
        <f>HYPERLINK("https://abs.twimg.com/images/themes/theme1/bg.png")</f>
        <v>https://abs.twimg.com/images/themes/theme1/bg.png</v>
      </c>
      <c r="AW178" s="89" t="b">
        <v>0</v>
      </c>
      <c r="AX178" s="89" t="s">
        <v>2300</v>
      </c>
      <c r="AY178" s="95" t="str">
        <f>HYPERLINK("https://twitter.com/kehottelija")</f>
        <v>https://twitter.com/kehottelija</v>
      </c>
      <c r="AZ178" s="89" t="s">
        <v>66</v>
      </c>
      <c r="BA178" s="89" t="str">
        <f>REPLACE(INDEX(GroupVertices[Group],MATCH(Vertices[[#This Row],[Vertex]],GroupVertices[Vertex],0)),1,1,"")</f>
        <v>2</v>
      </c>
      <c r="BB178" s="49">
        <v>0</v>
      </c>
      <c r="BC178" s="50">
        <v>0</v>
      </c>
      <c r="BD178" s="49">
        <v>0</v>
      </c>
      <c r="BE178" s="50">
        <v>0</v>
      </c>
      <c r="BF178" s="49">
        <v>0</v>
      </c>
      <c r="BG178" s="50">
        <v>0</v>
      </c>
      <c r="BH178" s="49">
        <v>38</v>
      </c>
      <c r="BI178" s="50">
        <v>100</v>
      </c>
      <c r="BJ178" s="49">
        <v>38</v>
      </c>
      <c r="BK178" s="49"/>
      <c r="BL178" s="49"/>
      <c r="BM178" s="49"/>
      <c r="BN178" s="49"/>
      <c r="BO178" s="49"/>
      <c r="BP178" s="49"/>
      <c r="BQ178" s="123" t="s">
        <v>5600</v>
      </c>
      <c r="BR178" s="123" t="s">
        <v>5600</v>
      </c>
      <c r="BS178" s="123" t="s">
        <v>5752</v>
      </c>
      <c r="BT178" s="123" t="s">
        <v>5752</v>
      </c>
      <c r="BU178" s="2"/>
      <c r="BV178" s="3"/>
      <c r="BW178" s="3"/>
      <c r="BX178" s="3"/>
      <c r="BY178" s="3"/>
    </row>
    <row r="179" spans="1:77" ht="15">
      <c r="A179" s="65" t="s">
        <v>299</v>
      </c>
      <c r="B179" s="66"/>
      <c r="C179" s="66" t="s">
        <v>46</v>
      </c>
      <c r="D179" s="67"/>
      <c r="E179" s="69"/>
      <c r="F179" s="111" t="str">
        <f>HYPERLINK("https://pbs.twimg.com/profile_images/1318039575881781248/r5TCLufI_normal.jpg")</f>
        <v>https://pbs.twimg.com/profile_images/1318039575881781248/r5TCLufI_normal.jpg</v>
      </c>
      <c r="G179" s="66"/>
      <c r="H179" s="70" t="s">
        <v>299</v>
      </c>
      <c r="I179" s="71" t="s">
        <v>5818</v>
      </c>
      <c r="J179" s="71" t="s">
        <v>73</v>
      </c>
      <c r="K179" s="70" t="s">
        <v>2476</v>
      </c>
      <c r="L179" s="74">
        <v>1</v>
      </c>
      <c r="M179" s="75">
        <v>1824.1494140625</v>
      </c>
      <c r="N179" s="75">
        <v>7095.5048828125</v>
      </c>
      <c r="O179" s="76"/>
      <c r="P179" s="77"/>
      <c r="Q179" s="77"/>
      <c r="R179" s="104"/>
      <c r="S179" s="49">
        <v>0</v>
      </c>
      <c r="T179" s="49">
        <v>4</v>
      </c>
      <c r="U179" s="50">
        <v>2021.996959</v>
      </c>
      <c r="V179" s="50">
        <v>0.001082</v>
      </c>
      <c r="W179" s="50">
        <v>0.004542</v>
      </c>
      <c r="X179" s="50">
        <v>1.10413</v>
      </c>
      <c r="Y179" s="50">
        <v>0.25</v>
      </c>
      <c r="Z179" s="50">
        <v>0</v>
      </c>
      <c r="AA179" s="72">
        <v>179</v>
      </c>
      <c r="AB179" s="72"/>
      <c r="AC179" s="73"/>
      <c r="AD179" s="89" t="s">
        <v>1650</v>
      </c>
      <c r="AE179" s="102" t="s">
        <v>1884</v>
      </c>
      <c r="AF179" s="89">
        <v>469</v>
      </c>
      <c r="AG179" s="89">
        <v>161</v>
      </c>
      <c r="AH179" s="89">
        <v>1395</v>
      </c>
      <c r="AI179" s="89">
        <v>50634</v>
      </c>
      <c r="AJ179" s="89"/>
      <c r="AK179" s="89"/>
      <c r="AL179" s="89"/>
      <c r="AM179" s="89"/>
      <c r="AN179" s="89"/>
      <c r="AO179" s="92">
        <v>42246.517916666664</v>
      </c>
      <c r="AP179" s="89"/>
      <c r="AQ179" s="89" t="b">
        <v>1</v>
      </c>
      <c r="AR179" s="89" t="b">
        <v>0</v>
      </c>
      <c r="AS179" s="89" t="b">
        <v>0</v>
      </c>
      <c r="AT179" s="89"/>
      <c r="AU179" s="89">
        <v>0</v>
      </c>
      <c r="AV179" s="95" t="str">
        <f>HYPERLINK("https://abs.twimg.com/images/themes/theme1/bg.png")</f>
        <v>https://abs.twimg.com/images/themes/theme1/bg.png</v>
      </c>
      <c r="AW179" s="89" t="b">
        <v>0</v>
      </c>
      <c r="AX179" s="89" t="s">
        <v>2300</v>
      </c>
      <c r="AY179" s="95" t="str">
        <f>HYPERLINK("https://twitter.com/miskakemppinen")</f>
        <v>https://twitter.com/miskakemppinen</v>
      </c>
      <c r="AZ179" s="89" t="s">
        <v>66</v>
      </c>
      <c r="BA179" s="89" t="str">
        <f>REPLACE(INDEX(GroupVertices[Group],MATCH(Vertices[[#This Row],[Vertex]],GroupVertices[Vertex],0)),1,1,"")</f>
        <v>1</v>
      </c>
      <c r="BB179" s="49">
        <v>0</v>
      </c>
      <c r="BC179" s="50">
        <v>0</v>
      </c>
      <c r="BD179" s="49">
        <v>0</v>
      </c>
      <c r="BE179" s="50">
        <v>0</v>
      </c>
      <c r="BF179" s="49">
        <v>0</v>
      </c>
      <c r="BG179" s="50">
        <v>0</v>
      </c>
      <c r="BH179" s="49">
        <v>72</v>
      </c>
      <c r="BI179" s="50">
        <v>100</v>
      </c>
      <c r="BJ179" s="49">
        <v>72</v>
      </c>
      <c r="BK179" s="49" t="s">
        <v>5514</v>
      </c>
      <c r="BL179" s="49" t="s">
        <v>5514</v>
      </c>
      <c r="BM179" s="49" t="s">
        <v>5526</v>
      </c>
      <c r="BN179" s="49" t="s">
        <v>5526</v>
      </c>
      <c r="BO179" s="49" t="s">
        <v>712</v>
      </c>
      <c r="BP179" s="49" t="s">
        <v>712</v>
      </c>
      <c r="BQ179" s="123" t="s">
        <v>5601</v>
      </c>
      <c r="BR179" s="123" t="s">
        <v>5675</v>
      </c>
      <c r="BS179" s="123" t="s">
        <v>5722</v>
      </c>
      <c r="BT179" s="123" t="s">
        <v>5754</v>
      </c>
      <c r="BU179" s="2"/>
      <c r="BV179" s="3"/>
      <c r="BW179" s="3"/>
      <c r="BX179" s="3"/>
      <c r="BY179" s="3"/>
    </row>
    <row r="180" spans="1:77" ht="15">
      <c r="A180" s="65" t="s">
        <v>300</v>
      </c>
      <c r="B180" s="66"/>
      <c r="C180" s="66" t="s">
        <v>46</v>
      </c>
      <c r="D180" s="67"/>
      <c r="E180" s="69"/>
      <c r="F180" s="111" t="str">
        <f>HYPERLINK("https://pbs.twimg.com/profile_images/1418534368126062594/l0AUMaz2_normal.jpg")</f>
        <v>https://pbs.twimg.com/profile_images/1418534368126062594/l0AUMaz2_normal.jpg</v>
      </c>
      <c r="G180" s="66"/>
      <c r="H180" s="70" t="s">
        <v>300</v>
      </c>
      <c r="I180" s="71" t="s">
        <v>5822</v>
      </c>
      <c r="J180" s="71" t="s">
        <v>73</v>
      </c>
      <c r="K180" s="70" t="s">
        <v>2477</v>
      </c>
      <c r="L180" s="74">
        <v>1</v>
      </c>
      <c r="M180" s="75">
        <v>6185.34716796875</v>
      </c>
      <c r="N180" s="75">
        <v>7842.44482421875</v>
      </c>
      <c r="O180" s="76"/>
      <c r="P180" s="77"/>
      <c r="Q180" s="77"/>
      <c r="R180" s="104"/>
      <c r="S180" s="49">
        <v>0</v>
      </c>
      <c r="T180" s="49">
        <v>1</v>
      </c>
      <c r="U180" s="50">
        <v>0</v>
      </c>
      <c r="V180" s="50">
        <v>0.000865</v>
      </c>
      <c r="W180" s="50">
        <v>0.001108</v>
      </c>
      <c r="X180" s="50">
        <v>0.38086</v>
      </c>
      <c r="Y180" s="50">
        <v>0</v>
      </c>
      <c r="Z180" s="50">
        <v>0</v>
      </c>
      <c r="AA180" s="72">
        <v>180</v>
      </c>
      <c r="AB180" s="72"/>
      <c r="AC180" s="73"/>
      <c r="AD180" s="89" t="s">
        <v>1651</v>
      </c>
      <c r="AE180" s="102" t="s">
        <v>1885</v>
      </c>
      <c r="AF180" s="89">
        <v>21</v>
      </c>
      <c r="AG180" s="89">
        <v>6</v>
      </c>
      <c r="AH180" s="89">
        <v>302</v>
      </c>
      <c r="AI180" s="89">
        <v>727</v>
      </c>
      <c r="AJ180" s="89"/>
      <c r="AK180" s="89" t="s">
        <v>2113</v>
      </c>
      <c r="AL180" s="89"/>
      <c r="AM180" s="89"/>
      <c r="AN180" s="89"/>
      <c r="AO180" s="92">
        <v>44400.479050925926</v>
      </c>
      <c r="AP180" s="89"/>
      <c r="AQ180" s="89" t="b">
        <v>1</v>
      </c>
      <c r="AR180" s="89" t="b">
        <v>0</v>
      </c>
      <c r="AS180" s="89" t="b">
        <v>0</v>
      </c>
      <c r="AT180" s="89"/>
      <c r="AU180" s="89">
        <v>0</v>
      </c>
      <c r="AV180" s="89"/>
      <c r="AW180" s="89" t="b">
        <v>0</v>
      </c>
      <c r="AX180" s="89" t="s">
        <v>2300</v>
      </c>
      <c r="AY180" s="95" t="str">
        <f>HYPERLINK("https://twitter.com/joakimwahlberg")</f>
        <v>https://twitter.com/joakimwahlberg</v>
      </c>
      <c r="AZ180" s="89" t="s">
        <v>66</v>
      </c>
      <c r="BA180" s="89" t="str">
        <f>REPLACE(INDEX(GroupVertices[Group],MATCH(Vertices[[#This Row],[Vertex]],GroupVertices[Vertex],0)),1,1,"")</f>
        <v>5</v>
      </c>
      <c r="BB180" s="49">
        <v>1</v>
      </c>
      <c r="BC180" s="50">
        <v>11.11111111111111</v>
      </c>
      <c r="BD180" s="49">
        <v>0</v>
      </c>
      <c r="BE180" s="50">
        <v>0</v>
      </c>
      <c r="BF180" s="49">
        <v>0</v>
      </c>
      <c r="BG180" s="50">
        <v>0</v>
      </c>
      <c r="BH180" s="49">
        <v>8</v>
      </c>
      <c r="BI180" s="50">
        <v>88.88888888888889</v>
      </c>
      <c r="BJ180" s="49">
        <v>9</v>
      </c>
      <c r="BK180" s="49"/>
      <c r="BL180" s="49"/>
      <c r="BM180" s="49"/>
      <c r="BN180" s="49"/>
      <c r="BO180" s="49"/>
      <c r="BP180" s="49"/>
      <c r="BQ180" s="123" t="s">
        <v>5602</v>
      </c>
      <c r="BR180" s="123" t="s">
        <v>5602</v>
      </c>
      <c r="BS180" s="123" t="s">
        <v>5753</v>
      </c>
      <c r="BT180" s="123" t="s">
        <v>5753</v>
      </c>
      <c r="BU180" s="2"/>
      <c r="BV180" s="3"/>
      <c r="BW180" s="3"/>
      <c r="BX180" s="3"/>
      <c r="BY180" s="3"/>
    </row>
    <row r="181" spans="1:77" ht="15">
      <c r="A181" s="65" t="s">
        <v>466</v>
      </c>
      <c r="B181" s="66"/>
      <c r="C181" s="66" t="s">
        <v>46</v>
      </c>
      <c r="D181" s="67">
        <v>10</v>
      </c>
      <c r="E181" s="69"/>
      <c r="F181" s="111" t="str">
        <f>HYPERLINK("https://pbs.twimg.com/profile_images/2204727828/kuva1_normal.jpg")</f>
        <v>https://pbs.twimg.com/profile_images/2204727828/kuva1_normal.jpg</v>
      </c>
      <c r="G181" s="66"/>
      <c r="H181" s="70" t="s">
        <v>466</v>
      </c>
      <c r="I181" s="71" t="s">
        <v>5818</v>
      </c>
      <c r="J181" s="71" t="s">
        <v>75</v>
      </c>
      <c r="K181" s="70" t="s">
        <v>2478</v>
      </c>
      <c r="L181" s="74">
        <v>477.0952380952381</v>
      </c>
      <c r="M181" s="75">
        <v>1275.14990234375</v>
      </c>
      <c r="N181" s="75">
        <v>9467.185546875</v>
      </c>
      <c r="O181" s="76"/>
      <c r="P181" s="77"/>
      <c r="Q181" s="77"/>
      <c r="R181" s="104"/>
      <c r="S181" s="49">
        <v>1</v>
      </c>
      <c r="T181" s="49">
        <v>0</v>
      </c>
      <c r="U181" s="50">
        <v>0</v>
      </c>
      <c r="V181" s="50">
        <v>0.00077</v>
      </c>
      <c r="W181" s="50">
        <v>0.000146</v>
      </c>
      <c r="X181" s="50">
        <v>0.405277</v>
      </c>
      <c r="Y181" s="50">
        <v>0</v>
      </c>
      <c r="Z181" s="50">
        <v>0</v>
      </c>
      <c r="AA181" s="72">
        <v>181</v>
      </c>
      <c r="AB181" s="72"/>
      <c r="AC181" s="73"/>
      <c r="AD181" s="89" t="s">
        <v>1652</v>
      </c>
      <c r="AE181" s="102" t="s">
        <v>1394</v>
      </c>
      <c r="AF181" s="89">
        <v>804</v>
      </c>
      <c r="AG181" s="89">
        <v>1795</v>
      </c>
      <c r="AH181" s="89">
        <v>24538</v>
      </c>
      <c r="AI181" s="89">
        <v>18508</v>
      </c>
      <c r="AJ181" s="89"/>
      <c r="AK181" s="89" t="s">
        <v>2114</v>
      </c>
      <c r="AL181" s="89" t="s">
        <v>2229</v>
      </c>
      <c r="AM181" s="95" t="str">
        <f>HYPERLINK("https://t.co/YoaAJwHBQf")</f>
        <v>https://t.co/YoaAJwHBQf</v>
      </c>
      <c r="AN181" s="89"/>
      <c r="AO181" s="92">
        <v>41038.54787037037</v>
      </c>
      <c r="AP181" s="95" t="str">
        <f>HYPERLINK("https://pbs.twimg.com/profile_banners/575338673/1623359358")</f>
        <v>https://pbs.twimg.com/profile_banners/575338673/1623359358</v>
      </c>
      <c r="AQ181" s="89" t="b">
        <v>0</v>
      </c>
      <c r="AR181" s="89" t="b">
        <v>0</v>
      </c>
      <c r="AS181" s="89" t="b">
        <v>0</v>
      </c>
      <c r="AT181" s="89"/>
      <c r="AU181" s="89">
        <v>16</v>
      </c>
      <c r="AV181" s="95" t="str">
        <f>HYPERLINK("https://abs.twimg.com/images/themes/theme1/bg.png")</f>
        <v>https://abs.twimg.com/images/themes/theme1/bg.png</v>
      </c>
      <c r="AW181" s="89" t="b">
        <v>0</v>
      </c>
      <c r="AX181" s="89" t="s">
        <v>2300</v>
      </c>
      <c r="AY181" s="95" t="str">
        <f>HYPERLINK("https://twitter.com/odds_12")</f>
        <v>https://twitter.com/odds_12</v>
      </c>
      <c r="AZ181" s="89" t="s">
        <v>65</v>
      </c>
      <c r="BA181" s="89"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302</v>
      </c>
      <c r="B182" s="66"/>
      <c r="C182" s="66" t="s">
        <v>46</v>
      </c>
      <c r="D182" s="67">
        <v>10</v>
      </c>
      <c r="E182" s="69"/>
      <c r="F182" s="111" t="str">
        <f>HYPERLINK("https://pbs.twimg.com/profile_images/1304076284671258626/Aqh8vkLb_normal.jpg")</f>
        <v>https://pbs.twimg.com/profile_images/1304076284671258626/Aqh8vkLb_normal.jpg</v>
      </c>
      <c r="G182" s="66"/>
      <c r="H182" s="70" t="s">
        <v>302</v>
      </c>
      <c r="I182" s="71" t="s">
        <v>5818</v>
      </c>
      <c r="J182" s="71" t="s">
        <v>73</v>
      </c>
      <c r="K182" s="70" t="s">
        <v>2479</v>
      </c>
      <c r="L182" s="74">
        <v>477.0952380952381</v>
      </c>
      <c r="M182" s="75">
        <v>1798.838134765625</v>
      </c>
      <c r="N182" s="75">
        <v>8650.8779296875</v>
      </c>
      <c r="O182" s="76"/>
      <c r="P182" s="77"/>
      <c r="Q182" s="77"/>
      <c r="R182" s="104"/>
      <c r="S182" s="49">
        <v>1</v>
      </c>
      <c r="T182" s="49">
        <v>2</v>
      </c>
      <c r="U182" s="50">
        <v>32.684211</v>
      </c>
      <c r="V182" s="50">
        <v>0.000903</v>
      </c>
      <c r="W182" s="50">
        <v>0.000863</v>
      </c>
      <c r="X182" s="50">
        <v>0.844235</v>
      </c>
      <c r="Y182" s="50">
        <v>0.5</v>
      </c>
      <c r="Z182" s="50">
        <v>0</v>
      </c>
      <c r="AA182" s="72">
        <v>182</v>
      </c>
      <c r="AB182" s="72"/>
      <c r="AC182" s="73"/>
      <c r="AD182" s="89" t="s">
        <v>1653</v>
      </c>
      <c r="AE182" s="102" t="s">
        <v>1886</v>
      </c>
      <c r="AF182" s="89">
        <v>3044</v>
      </c>
      <c r="AG182" s="89">
        <v>991</v>
      </c>
      <c r="AH182" s="89">
        <v>68928</v>
      </c>
      <c r="AI182" s="89">
        <v>114612</v>
      </c>
      <c r="AJ182" s="89"/>
      <c r="AK182" s="89" t="s">
        <v>2115</v>
      </c>
      <c r="AL182" s="89"/>
      <c r="AM182" s="89"/>
      <c r="AN182" s="89"/>
      <c r="AO182" s="92">
        <v>44084.634884259256</v>
      </c>
      <c r="AP182" s="89"/>
      <c r="AQ182" s="89" t="b">
        <v>1</v>
      </c>
      <c r="AR182" s="89" t="b">
        <v>0</v>
      </c>
      <c r="AS182" s="89" t="b">
        <v>0</v>
      </c>
      <c r="AT182" s="89"/>
      <c r="AU182" s="89">
        <v>5</v>
      </c>
      <c r="AV182" s="89"/>
      <c r="AW182" s="89" t="b">
        <v>0</v>
      </c>
      <c r="AX182" s="89" t="s">
        <v>2300</v>
      </c>
      <c r="AY182" s="95" t="str">
        <f>HYPERLINK("https://twitter.com/takapirulainen")</f>
        <v>https://twitter.com/takapirulainen</v>
      </c>
      <c r="AZ182" s="89" t="s">
        <v>66</v>
      </c>
      <c r="BA182" s="89" t="str">
        <f>REPLACE(INDEX(GroupVertices[Group],MATCH(Vertices[[#This Row],[Vertex]],GroupVertices[Vertex],0)),1,1,"")</f>
        <v>1</v>
      </c>
      <c r="BB182" s="49">
        <v>0</v>
      </c>
      <c r="BC182" s="50">
        <v>0</v>
      </c>
      <c r="BD182" s="49">
        <v>0</v>
      </c>
      <c r="BE182" s="50">
        <v>0</v>
      </c>
      <c r="BF182" s="49">
        <v>0</v>
      </c>
      <c r="BG182" s="50">
        <v>0</v>
      </c>
      <c r="BH182" s="49">
        <v>28</v>
      </c>
      <c r="BI182" s="50">
        <v>100</v>
      </c>
      <c r="BJ182" s="49">
        <v>28</v>
      </c>
      <c r="BK182" s="49"/>
      <c r="BL182" s="49"/>
      <c r="BM182" s="49"/>
      <c r="BN182" s="49"/>
      <c r="BO182" s="49"/>
      <c r="BP182" s="49"/>
      <c r="BQ182" s="123" t="s">
        <v>5603</v>
      </c>
      <c r="BR182" s="123" t="s">
        <v>5603</v>
      </c>
      <c r="BS182" s="123" t="s">
        <v>5754</v>
      </c>
      <c r="BT182" s="123" t="s">
        <v>5754</v>
      </c>
      <c r="BU182" s="2"/>
      <c r="BV182" s="3"/>
      <c r="BW182" s="3"/>
      <c r="BX182" s="3"/>
      <c r="BY182" s="3"/>
    </row>
    <row r="183" spans="1:77" ht="15">
      <c r="A183" s="65" t="s">
        <v>467</v>
      </c>
      <c r="B183" s="66"/>
      <c r="C183" s="66" t="s">
        <v>46</v>
      </c>
      <c r="D183" s="67">
        <v>10</v>
      </c>
      <c r="E183" s="69"/>
      <c r="F183" s="111" t="str">
        <f>HYPERLINK("https://pbs.twimg.com/profile_images/1434732649755680768/zZZPDuh5_normal.jpg")</f>
        <v>https://pbs.twimg.com/profile_images/1434732649755680768/zZZPDuh5_normal.jpg</v>
      </c>
      <c r="G183" s="66"/>
      <c r="H183" s="70" t="s">
        <v>467</v>
      </c>
      <c r="I183" s="71" t="s">
        <v>5818</v>
      </c>
      <c r="J183" s="71" t="s">
        <v>75</v>
      </c>
      <c r="K183" s="70" t="s">
        <v>2480</v>
      </c>
      <c r="L183" s="74">
        <v>477.0952380952381</v>
      </c>
      <c r="M183" s="75">
        <v>1844.447998046875</v>
      </c>
      <c r="N183" s="75">
        <v>9371.171875</v>
      </c>
      <c r="O183" s="76"/>
      <c r="P183" s="77"/>
      <c r="Q183" s="77"/>
      <c r="R183" s="104"/>
      <c r="S183" s="49">
        <v>1</v>
      </c>
      <c r="T183" s="49">
        <v>0</v>
      </c>
      <c r="U183" s="50">
        <v>0</v>
      </c>
      <c r="V183" s="50">
        <v>0.00077</v>
      </c>
      <c r="W183" s="50">
        <v>0.000146</v>
      </c>
      <c r="X183" s="50">
        <v>0.405277</v>
      </c>
      <c r="Y183" s="50">
        <v>0</v>
      </c>
      <c r="Z183" s="50">
        <v>0</v>
      </c>
      <c r="AA183" s="72">
        <v>183</v>
      </c>
      <c r="AB183" s="72"/>
      <c r="AC183" s="73"/>
      <c r="AD183" s="89" t="s">
        <v>1654</v>
      </c>
      <c r="AE183" s="102" t="s">
        <v>1395</v>
      </c>
      <c r="AF183" s="89">
        <v>235</v>
      </c>
      <c r="AG183" s="89">
        <v>296</v>
      </c>
      <c r="AH183" s="89">
        <v>756</v>
      </c>
      <c r="AI183" s="89">
        <v>539</v>
      </c>
      <c r="AJ183" s="89"/>
      <c r="AK183" s="89" t="s">
        <v>2116</v>
      </c>
      <c r="AL183" s="89"/>
      <c r="AM183" s="89"/>
      <c r="AN183" s="89"/>
      <c r="AO183" s="92">
        <v>44444.484293981484</v>
      </c>
      <c r="AP183" s="89"/>
      <c r="AQ183" s="89" t="b">
        <v>1</v>
      </c>
      <c r="AR183" s="89" t="b">
        <v>0</v>
      </c>
      <c r="AS183" s="89" t="b">
        <v>0</v>
      </c>
      <c r="AT183" s="89"/>
      <c r="AU183" s="89">
        <v>2</v>
      </c>
      <c r="AV183" s="89"/>
      <c r="AW183" s="89" t="b">
        <v>0</v>
      </c>
      <c r="AX183" s="89" t="s">
        <v>2300</v>
      </c>
      <c r="AY183" s="95" t="str">
        <f>HYPERLINK("https://twitter.com/laumansuojaaja")</f>
        <v>https://twitter.com/laumansuojaaja</v>
      </c>
      <c r="AZ183" s="89" t="s">
        <v>65</v>
      </c>
      <c r="BA183" s="89"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304</v>
      </c>
      <c r="B184" s="66"/>
      <c r="C184" s="66" t="s">
        <v>46</v>
      </c>
      <c r="D184" s="67"/>
      <c r="E184" s="69"/>
      <c r="F184" s="111" t="str">
        <f>HYPERLINK("https://pbs.twimg.com/profile_images/464509102560124928/WAZPA9K9_normal.jpeg")</f>
        <v>https://pbs.twimg.com/profile_images/464509102560124928/WAZPA9K9_normal.jpeg</v>
      </c>
      <c r="G184" s="66"/>
      <c r="H184" s="70" t="s">
        <v>304</v>
      </c>
      <c r="I184" s="71" t="s">
        <v>5834</v>
      </c>
      <c r="J184" s="71" t="s">
        <v>73</v>
      </c>
      <c r="K184" s="70" t="s">
        <v>2481</v>
      </c>
      <c r="L184" s="74">
        <v>1</v>
      </c>
      <c r="M184" s="75">
        <v>3769.7333984375</v>
      </c>
      <c r="N184" s="75">
        <v>2862.302734375</v>
      </c>
      <c r="O184" s="76"/>
      <c r="P184" s="77"/>
      <c r="Q184" s="77"/>
      <c r="R184" s="104"/>
      <c r="S184" s="49">
        <v>0</v>
      </c>
      <c r="T184" s="49">
        <v>5</v>
      </c>
      <c r="U184" s="50">
        <v>0.111111</v>
      </c>
      <c r="V184" s="50">
        <v>0.000942</v>
      </c>
      <c r="W184" s="50">
        <v>0.029174</v>
      </c>
      <c r="X184" s="50">
        <v>0.99277</v>
      </c>
      <c r="Y184" s="50">
        <v>0.45</v>
      </c>
      <c r="Z184" s="50">
        <v>0</v>
      </c>
      <c r="AA184" s="72">
        <v>184</v>
      </c>
      <c r="AB184" s="72"/>
      <c r="AC184" s="73"/>
      <c r="AD184" s="89" t="s">
        <v>1655</v>
      </c>
      <c r="AE184" s="102" t="s">
        <v>1887</v>
      </c>
      <c r="AF184" s="89">
        <v>751</v>
      </c>
      <c r="AG184" s="89">
        <v>367</v>
      </c>
      <c r="AH184" s="89">
        <v>4377</v>
      </c>
      <c r="AI184" s="89">
        <v>35931</v>
      </c>
      <c r="AJ184" s="89"/>
      <c r="AK184" s="89" t="s">
        <v>2117</v>
      </c>
      <c r="AL184" s="89"/>
      <c r="AM184" s="89"/>
      <c r="AN184" s="89"/>
      <c r="AO184" s="92">
        <v>41412.83555555555</v>
      </c>
      <c r="AP184" s="89"/>
      <c r="AQ184" s="89" t="b">
        <v>1</v>
      </c>
      <c r="AR184" s="89" t="b">
        <v>0</v>
      </c>
      <c r="AS184" s="89" t="b">
        <v>0</v>
      </c>
      <c r="AT184" s="89"/>
      <c r="AU184" s="89">
        <v>0</v>
      </c>
      <c r="AV184" s="95" t="str">
        <f>HYPERLINK("https://abs.twimg.com/images/themes/theme1/bg.png")</f>
        <v>https://abs.twimg.com/images/themes/theme1/bg.png</v>
      </c>
      <c r="AW184" s="89" t="b">
        <v>0</v>
      </c>
      <c r="AX184" s="89" t="s">
        <v>2300</v>
      </c>
      <c r="AY184" s="95" t="str">
        <f>HYPERLINK("https://twitter.com/ounaskoski")</f>
        <v>https://twitter.com/ounaskoski</v>
      </c>
      <c r="AZ184" s="89" t="s">
        <v>66</v>
      </c>
      <c r="BA184" s="89" t="str">
        <f>REPLACE(INDEX(GroupVertices[Group],MATCH(Vertices[[#This Row],[Vertex]],GroupVertices[Vertex],0)),1,1,"")</f>
        <v>3</v>
      </c>
      <c r="BB184" s="49">
        <v>0</v>
      </c>
      <c r="BC184" s="50">
        <v>0</v>
      </c>
      <c r="BD184" s="49">
        <v>0</v>
      </c>
      <c r="BE184" s="50">
        <v>0</v>
      </c>
      <c r="BF184" s="49">
        <v>0</v>
      </c>
      <c r="BG184" s="50">
        <v>0</v>
      </c>
      <c r="BH184" s="49">
        <v>18</v>
      </c>
      <c r="BI184" s="50">
        <v>100</v>
      </c>
      <c r="BJ184" s="49">
        <v>18</v>
      </c>
      <c r="BK184" s="49"/>
      <c r="BL184" s="49"/>
      <c r="BM184" s="49"/>
      <c r="BN184" s="49"/>
      <c r="BO184" s="49" t="s">
        <v>712</v>
      </c>
      <c r="BP184" s="49" t="s">
        <v>712</v>
      </c>
      <c r="BQ184" s="123" t="s">
        <v>5604</v>
      </c>
      <c r="BR184" s="123" t="s">
        <v>5676</v>
      </c>
      <c r="BS184" s="123" t="s">
        <v>5755</v>
      </c>
      <c r="BT184" s="123" t="s">
        <v>5812</v>
      </c>
      <c r="BU184" s="2"/>
      <c r="BV184" s="3"/>
      <c r="BW184" s="3"/>
      <c r="BX184" s="3"/>
      <c r="BY184" s="3"/>
    </row>
    <row r="185" spans="1:77" ht="15">
      <c r="A185" s="65" t="s">
        <v>324</v>
      </c>
      <c r="B185" s="66"/>
      <c r="C185" s="66" t="s">
        <v>64</v>
      </c>
      <c r="D185" s="67">
        <v>392.9842791621962</v>
      </c>
      <c r="E185" s="69"/>
      <c r="F185" s="111" t="str">
        <f>HYPERLINK("https://pbs.twimg.com/profile_images/1448989980580319232/mOJ-66Ys_normal.jpg")</f>
        <v>https://pbs.twimg.com/profile_images/1448989980580319232/mOJ-66Ys_normal.jpg</v>
      </c>
      <c r="G185" s="66"/>
      <c r="H185" s="70" t="s">
        <v>324</v>
      </c>
      <c r="I185" s="71" t="s">
        <v>5834</v>
      </c>
      <c r="J185" s="71" t="s">
        <v>73</v>
      </c>
      <c r="K185" s="70" t="s">
        <v>2482</v>
      </c>
      <c r="L185" s="74">
        <v>953.1904761904761</v>
      </c>
      <c r="M185" s="75">
        <v>4029.342041015625</v>
      </c>
      <c r="N185" s="75">
        <v>2698.97119140625</v>
      </c>
      <c r="O185" s="76"/>
      <c r="P185" s="77"/>
      <c r="Q185" s="77"/>
      <c r="R185" s="104"/>
      <c r="S185" s="49">
        <v>2</v>
      </c>
      <c r="T185" s="49">
        <v>4</v>
      </c>
      <c r="U185" s="50">
        <v>488.111111</v>
      </c>
      <c r="V185" s="50">
        <v>0.000943</v>
      </c>
      <c r="W185" s="50">
        <v>0.029582</v>
      </c>
      <c r="X185" s="50">
        <v>1.227062</v>
      </c>
      <c r="Y185" s="50">
        <v>0.3</v>
      </c>
      <c r="Z185" s="50">
        <v>0</v>
      </c>
      <c r="AA185" s="72">
        <v>185</v>
      </c>
      <c r="AB185" s="72"/>
      <c r="AC185" s="73"/>
      <c r="AD185" s="89" t="s">
        <v>1656</v>
      </c>
      <c r="AE185" s="102" t="s">
        <v>1888</v>
      </c>
      <c r="AF185" s="89">
        <v>556</v>
      </c>
      <c r="AG185" s="89">
        <v>384</v>
      </c>
      <c r="AH185" s="89">
        <v>6437</v>
      </c>
      <c r="AI185" s="89">
        <v>29572</v>
      </c>
      <c r="AJ185" s="89"/>
      <c r="AK185" s="89"/>
      <c r="AL185" s="89"/>
      <c r="AM185" s="89"/>
      <c r="AN185" s="89"/>
      <c r="AO185" s="92">
        <v>44484.45459490741</v>
      </c>
      <c r="AP185" s="89"/>
      <c r="AQ185" s="89" t="b">
        <v>1</v>
      </c>
      <c r="AR185" s="89" t="b">
        <v>0</v>
      </c>
      <c r="AS185" s="89" t="b">
        <v>0</v>
      </c>
      <c r="AT185" s="89"/>
      <c r="AU185" s="89">
        <v>0</v>
      </c>
      <c r="AV185" s="89"/>
      <c r="AW185" s="89" t="b">
        <v>0</v>
      </c>
      <c r="AX185" s="89" t="s">
        <v>2300</v>
      </c>
      <c r="AY185" s="95" t="str">
        <f>HYPERLINK("https://twitter.com/mmaitoparta")</f>
        <v>https://twitter.com/mmaitoparta</v>
      </c>
      <c r="AZ185" s="89" t="s">
        <v>66</v>
      </c>
      <c r="BA185" s="89" t="str">
        <f>REPLACE(INDEX(GroupVertices[Group],MATCH(Vertices[[#This Row],[Vertex]],GroupVertices[Vertex],0)),1,1,"")</f>
        <v>3</v>
      </c>
      <c r="BB185" s="49">
        <v>0</v>
      </c>
      <c r="BC185" s="50">
        <v>0</v>
      </c>
      <c r="BD185" s="49">
        <v>0</v>
      </c>
      <c r="BE185" s="50">
        <v>0</v>
      </c>
      <c r="BF185" s="49">
        <v>0</v>
      </c>
      <c r="BG185" s="50">
        <v>0</v>
      </c>
      <c r="BH185" s="49">
        <v>42</v>
      </c>
      <c r="BI185" s="50">
        <v>100</v>
      </c>
      <c r="BJ185" s="49">
        <v>42</v>
      </c>
      <c r="BK185" s="49"/>
      <c r="BL185" s="49"/>
      <c r="BM185" s="49"/>
      <c r="BN185" s="49"/>
      <c r="BO185" s="49" t="s">
        <v>712</v>
      </c>
      <c r="BP185" s="49" t="s">
        <v>712</v>
      </c>
      <c r="BQ185" s="123" t="s">
        <v>5605</v>
      </c>
      <c r="BR185" s="123" t="s">
        <v>5619</v>
      </c>
      <c r="BS185" s="123" t="s">
        <v>5756</v>
      </c>
      <c r="BT185" s="123" t="s">
        <v>5756</v>
      </c>
      <c r="BU185" s="2"/>
      <c r="BV185" s="3"/>
      <c r="BW185" s="3"/>
      <c r="BX185" s="3"/>
      <c r="BY185" s="3"/>
    </row>
    <row r="186" spans="1:77" ht="15">
      <c r="A186" s="65" t="s">
        <v>367</v>
      </c>
      <c r="B186" s="66"/>
      <c r="C186" s="66" t="s">
        <v>64</v>
      </c>
      <c r="D186" s="67">
        <v>392.9842791621962</v>
      </c>
      <c r="E186" s="69"/>
      <c r="F186" s="111" t="str">
        <f>HYPERLINK("https://pbs.twimg.com/profile_images/1465970962550214656/3RsuSP0L_normal.jpg")</f>
        <v>https://pbs.twimg.com/profile_images/1465970962550214656/3RsuSP0L_normal.jpg</v>
      </c>
      <c r="G186" s="66"/>
      <c r="H186" s="70" t="s">
        <v>367</v>
      </c>
      <c r="I186" s="71" t="s">
        <v>5834</v>
      </c>
      <c r="J186" s="71" t="s">
        <v>73</v>
      </c>
      <c r="K186" s="70" t="s">
        <v>2483</v>
      </c>
      <c r="L186" s="74">
        <v>953.1904761904761</v>
      </c>
      <c r="M186" s="75">
        <v>3509.35693359375</v>
      </c>
      <c r="N186" s="75">
        <v>3333.549072265625</v>
      </c>
      <c r="O186" s="76"/>
      <c r="P186" s="77"/>
      <c r="Q186" s="77"/>
      <c r="R186" s="104"/>
      <c r="S186" s="49">
        <v>2</v>
      </c>
      <c r="T186" s="49">
        <v>15</v>
      </c>
      <c r="U186" s="50">
        <v>5661.644497</v>
      </c>
      <c r="V186" s="50">
        <v>0.001054</v>
      </c>
      <c r="W186" s="50">
        <v>0.042453</v>
      </c>
      <c r="X186" s="50">
        <v>3.81981</v>
      </c>
      <c r="Y186" s="50">
        <v>0.051470588235294115</v>
      </c>
      <c r="Z186" s="50">
        <v>0</v>
      </c>
      <c r="AA186" s="72">
        <v>186</v>
      </c>
      <c r="AB186" s="72"/>
      <c r="AC186" s="73"/>
      <c r="AD186" s="89" t="s">
        <v>1657</v>
      </c>
      <c r="AE186" s="102" t="s">
        <v>1889</v>
      </c>
      <c r="AF186" s="89">
        <v>415</v>
      </c>
      <c r="AG186" s="89">
        <v>503</v>
      </c>
      <c r="AH186" s="89">
        <v>16067</v>
      </c>
      <c r="AI186" s="89">
        <v>25486</v>
      </c>
      <c r="AJ186" s="89"/>
      <c r="AK186" s="89" t="s">
        <v>2118</v>
      </c>
      <c r="AL186" s="89"/>
      <c r="AM186" s="89"/>
      <c r="AN186" s="89"/>
      <c r="AO186" s="92">
        <v>43938.69605324074</v>
      </c>
      <c r="AP186" s="95" t="str">
        <f>HYPERLINK("https://pbs.twimg.com/profile_banners/1251189088046252036/1587143292")</f>
        <v>https://pbs.twimg.com/profile_banners/1251189088046252036/1587143292</v>
      </c>
      <c r="AQ186" s="89" t="b">
        <v>1</v>
      </c>
      <c r="AR186" s="89" t="b">
        <v>0</v>
      </c>
      <c r="AS186" s="89" t="b">
        <v>0</v>
      </c>
      <c r="AT186" s="89"/>
      <c r="AU186" s="89">
        <v>2</v>
      </c>
      <c r="AV186" s="89"/>
      <c r="AW186" s="89" t="b">
        <v>0</v>
      </c>
      <c r="AX186" s="89" t="s">
        <v>2300</v>
      </c>
      <c r="AY186" s="95" t="str">
        <f>HYPERLINK("https://twitter.com/teetee63tee")</f>
        <v>https://twitter.com/teetee63tee</v>
      </c>
      <c r="AZ186" s="89" t="s">
        <v>66</v>
      </c>
      <c r="BA186" s="89" t="str">
        <f>REPLACE(INDEX(GroupVertices[Group],MATCH(Vertices[[#This Row],[Vertex]],GroupVertices[Vertex],0)),1,1,"")</f>
        <v>3</v>
      </c>
      <c r="BB186" s="49">
        <v>0</v>
      </c>
      <c r="BC186" s="50">
        <v>0</v>
      </c>
      <c r="BD186" s="49">
        <v>2</v>
      </c>
      <c r="BE186" s="50">
        <v>1.7543859649122806</v>
      </c>
      <c r="BF186" s="49">
        <v>0</v>
      </c>
      <c r="BG186" s="50">
        <v>0</v>
      </c>
      <c r="BH186" s="49">
        <v>112</v>
      </c>
      <c r="BI186" s="50">
        <v>98.24561403508773</v>
      </c>
      <c r="BJ186" s="49">
        <v>114</v>
      </c>
      <c r="BK186" s="49" t="s">
        <v>5515</v>
      </c>
      <c r="BL186" s="49" t="s">
        <v>5515</v>
      </c>
      <c r="BM186" s="49" t="s">
        <v>5527</v>
      </c>
      <c r="BN186" s="49" t="s">
        <v>5527</v>
      </c>
      <c r="BO186" s="49" t="s">
        <v>712</v>
      </c>
      <c r="BP186" s="49" t="s">
        <v>712</v>
      </c>
      <c r="BQ186" s="123" t="s">
        <v>5606</v>
      </c>
      <c r="BR186" s="123" t="s">
        <v>5677</v>
      </c>
      <c r="BS186" s="123" t="s">
        <v>5757</v>
      </c>
      <c r="BT186" s="123" t="s">
        <v>5813</v>
      </c>
      <c r="BU186" s="2"/>
      <c r="BV186" s="3"/>
      <c r="BW186" s="3"/>
      <c r="BX186" s="3"/>
      <c r="BY186" s="3"/>
    </row>
    <row r="187" spans="1:77" ht="15">
      <c r="A187" s="65" t="s">
        <v>305</v>
      </c>
      <c r="B187" s="66"/>
      <c r="C187" s="66" t="s">
        <v>46</v>
      </c>
      <c r="D187" s="67"/>
      <c r="E187" s="69"/>
      <c r="F187" s="111" t="str">
        <f>HYPERLINK("https://pbs.twimg.com/profile_images/1347875325993230336/emyxHmuv_normal.jpg")</f>
        <v>https://pbs.twimg.com/profile_images/1347875325993230336/emyxHmuv_normal.jpg</v>
      </c>
      <c r="G187" s="66"/>
      <c r="H187" s="70" t="s">
        <v>305</v>
      </c>
      <c r="I187" s="71" t="s">
        <v>5821</v>
      </c>
      <c r="J187" s="71" t="s">
        <v>73</v>
      </c>
      <c r="K187" s="70" t="s">
        <v>2484</v>
      </c>
      <c r="L187" s="74">
        <v>1</v>
      </c>
      <c r="M187" s="75">
        <v>1112.8382568359375</v>
      </c>
      <c r="N187" s="75">
        <v>2622.49267578125</v>
      </c>
      <c r="O187" s="76"/>
      <c r="P187" s="77"/>
      <c r="Q187" s="77"/>
      <c r="R187" s="104"/>
      <c r="S187" s="49">
        <v>0</v>
      </c>
      <c r="T187" s="49">
        <v>6</v>
      </c>
      <c r="U187" s="50">
        <v>1999.022733</v>
      </c>
      <c r="V187" s="50">
        <v>0.000903</v>
      </c>
      <c r="W187" s="50">
        <v>0.001272</v>
      </c>
      <c r="X187" s="50">
        <v>1.618309</v>
      </c>
      <c r="Y187" s="50">
        <v>0.1</v>
      </c>
      <c r="Z187" s="50">
        <v>0</v>
      </c>
      <c r="AA187" s="72">
        <v>187</v>
      </c>
      <c r="AB187" s="72"/>
      <c r="AC187" s="73"/>
      <c r="AD187" s="89" t="s">
        <v>1658</v>
      </c>
      <c r="AE187" s="102" t="s">
        <v>1890</v>
      </c>
      <c r="AF187" s="89">
        <v>1757</v>
      </c>
      <c r="AG187" s="89">
        <v>825</v>
      </c>
      <c r="AH187" s="89">
        <v>20362</v>
      </c>
      <c r="AI187" s="89">
        <v>157437</v>
      </c>
      <c r="AJ187" s="89"/>
      <c r="AK187" s="89" t="s">
        <v>2119</v>
      </c>
      <c r="AL187" s="89"/>
      <c r="AM187" s="89"/>
      <c r="AN187" s="89"/>
      <c r="AO187" s="92">
        <v>42120.693020833336</v>
      </c>
      <c r="AP187" s="95" t="str">
        <f>HYPERLINK("https://pbs.twimg.com/profile_banners/3208416489/1430246898")</f>
        <v>https://pbs.twimg.com/profile_banners/3208416489/1430246898</v>
      </c>
      <c r="AQ187" s="89" t="b">
        <v>0</v>
      </c>
      <c r="AR187" s="89" t="b">
        <v>0</v>
      </c>
      <c r="AS187" s="89" t="b">
        <v>1</v>
      </c>
      <c r="AT187" s="89"/>
      <c r="AU187" s="89">
        <v>2</v>
      </c>
      <c r="AV187" s="95" t="str">
        <f>HYPERLINK("https://abs.twimg.com/images/themes/theme1/bg.png")</f>
        <v>https://abs.twimg.com/images/themes/theme1/bg.png</v>
      </c>
      <c r="AW187" s="89" t="b">
        <v>0</v>
      </c>
      <c r="AX187" s="89" t="s">
        <v>2300</v>
      </c>
      <c r="AY187" s="95" t="str">
        <f>HYPERLINK("https://twitter.com/hezerminator")</f>
        <v>https://twitter.com/hezerminator</v>
      </c>
      <c r="AZ187" s="89" t="s">
        <v>66</v>
      </c>
      <c r="BA187" s="89" t="str">
        <f>REPLACE(INDEX(GroupVertices[Group],MATCH(Vertices[[#This Row],[Vertex]],GroupVertices[Vertex],0)),1,1,"")</f>
        <v>2</v>
      </c>
      <c r="BB187" s="49">
        <v>0</v>
      </c>
      <c r="BC187" s="50">
        <v>0</v>
      </c>
      <c r="BD187" s="49">
        <v>0</v>
      </c>
      <c r="BE187" s="50">
        <v>0</v>
      </c>
      <c r="BF187" s="49">
        <v>0</v>
      </c>
      <c r="BG187" s="50">
        <v>0</v>
      </c>
      <c r="BH187" s="49">
        <v>29</v>
      </c>
      <c r="BI187" s="50">
        <v>100</v>
      </c>
      <c r="BJ187" s="49">
        <v>29</v>
      </c>
      <c r="BK187" s="49"/>
      <c r="BL187" s="49"/>
      <c r="BM187" s="49"/>
      <c r="BN187" s="49"/>
      <c r="BO187" s="49"/>
      <c r="BP187" s="49"/>
      <c r="BQ187" s="123" t="s">
        <v>5607</v>
      </c>
      <c r="BR187" s="123" t="s">
        <v>5607</v>
      </c>
      <c r="BS187" s="123" t="s">
        <v>5758</v>
      </c>
      <c r="BT187" s="123" t="s">
        <v>5758</v>
      </c>
      <c r="BU187" s="2"/>
      <c r="BV187" s="3"/>
      <c r="BW187" s="3"/>
      <c r="BX187" s="3"/>
      <c r="BY187" s="3"/>
    </row>
    <row r="188" spans="1:77" ht="15">
      <c r="A188" s="65" t="s">
        <v>468</v>
      </c>
      <c r="B188" s="66"/>
      <c r="C188" s="66" t="s">
        <v>46</v>
      </c>
      <c r="D188" s="67">
        <v>10</v>
      </c>
      <c r="E188" s="69"/>
      <c r="F188" s="111" t="str">
        <f>HYPERLINK("https://abs.twimg.com/sticky/default_profile_images/default_profile_normal.png")</f>
        <v>https://abs.twimg.com/sticky/default_profile_images/default_profile_normal.png</v>
      </c>
      <c r="G188" s="66"/>
      <c r="H188" s="70" t="s">
        <v>468</v>
      </c>
      <c r="I188" s="71" t="s">
        <v>5821</v>
      </c>
      <c r="J188" s="71" t="s">
        <v>75</v>
      </c>
      <c r="K188" s="70" t="s">
        <v>2485</v>
      </c>
      <c r="L188" s="74">
        <v>477.0952380952381</v>
      </c>
      <c r="M188" s="75">
        <v>537.9151611328125</v>
      </c>
      <c r="N188" s="75">
        <v>2519.24560546875</v>
      </c>
      <c r="O188" s="76"/>
      <c r="P188" s="77"/>
      <c r="Q188" s="77"/>
      <c r="R188" s="104"/>
      <c r="S188" s="49">
        <v>1</v>
      </c>
      <c r="T188" s="49">
        <v>0</v>
      </c>
      <c r="U188" s="50">
        <v>0</v>
      </c>
      <c r="V188" s="50">
        <v>0.00074</v>
      </c>
      <c r="W188" s="50">
        <v>0.000148</v>
      </c>
      <c r="X188" s="50">
        <v>0.37926</v>
      </c>
      <c r="Y188" s="50">
        <v>0</v>
      </c>
      <c r="Z188" s="50">
        <v>0</v>
      </c>
      <c r="AA188" s="72">
        <v>188</v>
      </c>
      <c r="AB188" s="72"/>
      <c r="AC188" s="73"/>
      <c r="AD188" s="89" t="s">
        <v>1659</v>
      </c>
      <c r="AE188" s="102" t="s">
        <v>1397</v>
      </c>
      <c r="AF188" s="89">
        <v>136</v>
      </c>
      <c r="AG188" s="89">
        <v>58</v>
      </c>
      <c r="AH188" s="89">
        <v>3366</v>
      </c>
      <c r="AI188" s="89">
        <v>4506</v>
      </c>
      <c r="AJ188" s="89"/>
      <c r="AK188" s="89"/>
      <c r="AL188" s="89"/>
      <c r="AM188" s="89"/>
      <c r="AN188" s="89"/>
      <c r="AO188" s="92">
        <v>40370.715162037035</v>
      </c>
      <c r="AP188" s="89"/>
      <c r="AQ188" s="89" t="b">
        <v>1</v>
      </c>
      <c r="AR188" s="89" t="b">
        <v>1</v>
      </c>
      <c r="AS188" s="89" t="b">
        <v>0</v>
      </c>
      <c r="AT188" s="89"/>
      <c r="AU188" s="89">
        <v>1</v>
      </c>
      <c r="AV188" s="95" t="str">
        <f>HYPERLINK("https://abs.twimg.com/images/themes/theme1/bg.png")</f>
        <v>https://abs.twimg.com/images/themes/theme1/bg.png</v>
      </c>
      <c r="AW188" s="89" t="b">
        <v>0</v>
      </c>
      <c r="AX188" s="89" t="s">
        <v>2300</v>
      </c>
      <c r="AY188" s="95" t="str">
        <f>HYPERLINK("https://twitter.com/montomik")</f>
        <v>https://twitter.com/montomik</v>
      </c>
      <c r="AZ188" s="89" t="s">
        <v>65</v>
      </c>
      <c r="BA188" s="89" t="str">
        <f>REPLACE(INDEX(GroupVertices[Group],MATCH(Vertices[[#This Row],[Vertex]],GroupVertices[Vertex],0)),1,1,"")</f>
        <v>2</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5" t="s">
        <v>372</v>
      </c>
      <c r="B189" s="66"/>
      <c r="C189" s="66" t="s">
        <v>64</v>
      </c>
      <c r="D189" s="67">
        <v>1000</v>
      </c>
      <c r="E189" s="69"/>
      <c r="F189" s="111" t="str">
        <f>HYPERLINK("https://pbs.twimg.com/profile_images/578604214013710336/lNlHCyyf_normal.jpeg")</f>
        <v>https://pbs.twimg.com/profile_images/578604214013710336/lNlHCyyf_normal.jpeg</v>
      </c>
      <c r="G189" s="66"/>
      <c r="H189" s="70" t="s">
        <v>372</v>
      </c>
      <c r="I189" s="71" t="s">
        <v>5821</v>
      </c>
      <c r="J189" s="71" t="s">
        <v>73</v>
      </c>
      <c r="K189" s="70" t="s">
        <v>2486</v>
      </c>
      <c r="L189" s="74">
        <v>3809.7619047619046</v>
      </c>
      <c r="M189" s="75">
        <v>1863.985595703125</v>
      </c>
      <c r="N189" s="75">
        <v>2264.581787109375</v>
      </c>
      <c r="O189" s="76"/>
      <c r="P189" s="77"/>
      <c r="Q189" s="77"/>
      <c r="R189" s="104"/>
      <c r="S189" s="49">
        <v>8</v>
      </c>
      <c r="T189" s="49">
        <v>2</v>
      </c>
      <c r="U189" s="50">
        <v>868.131078</v>
      </c>
      <c r="V189" s="50">
        <v>0.001027</v>
      </c>
      <c r="W189" s="50">
        <v>0.003029</v>
      </c>
      <c r="X189" s="50">
        <v>2.211311</v>
      </c>
      <c r="Y189" s="50">
        <v>0.17777777777777778</v>
      </c>
      <c r="Z189" s="50">
        <v>0</v>
      </c>
      <c r="AA189" s="72">
        <v>189</v>
      </c>
      <c r="AB189" s="72"/>
      <c r="AC189" s="73"/>
      <c r="AD189" s="89" t="s">
        <v>1660</v>
      </c>
      <c r="AE189" s="102" t="s">
        <v>1400</v>
      </c>
      <c r="AF189" s="89">
        <v>7439</v>
      </c>
      <c r="AG189" s="89">
        <v>14313</v>
      </c>
      <c r="AH189" s="89">
        <v>34917</v>
      </c>
      <c r="AI189" s="89">
        <v>75836</v>
      </c>
      <c r="AJ189" s="89"/>
      <c r="AK189" s="89" t="s">
        <v>2120</v>
      </c>
      <c r="AL189" s="89" t="s">
        <v>2270</v>
      </c>
      <c r="AM189" s="89"/>
      <c r="AN189" s="89"/>
      <c r="AO189" s="92">
        <v>39865.354467592595</v>
      </c>
      <c r="AP189" s="95" t="str">
        <f>HYPERLINK("https://pbs.twimg.com/profile_banners/21472089/1634138154")</f>
        <v>https://pbs.twimg.com/profile_banners/21472089/1634138154</v>
      </c>
      <c r="AQ189" s="89" t="b">
        <v>0</v>
      </c>
      <c r="AR189" s="89" t="b">
        <v>0</v>
      </c>
      <c r="AS189" s="89" t="b">
        <v>1</v>
      </c>
      <c r="AT189" s="89"/>
      <c r="AU189" s="89">
        <v>82</v>
      </c>
      <c r="AV189" s="95" t="str">
        <f>HYPERLINK("https://abs.twimg.com/images/themes/theme10/bg.gif")</f>
        <v>https://abs.twimg.com/images/themes/theme10/bg.gif</v>
      </c>
      <c r="AW189" s="89" t="b">
        <v>0</v>
      </c>
      <c r="AX189" s="89" t="s">
        <v>2300</v>
      </c>
      <c r="AY189" s="95" t="str">
        <f>HYPERLINK("https://twitter.com/mvirtanen")</f>
        <v>https://twitter.com/mvirtanen</v>
      </c>
      <c r="AZ189" s="89" t="s">
        <v>66</v>
      </c>
      <c r="BA189" s="89" t="str">
        <f>REPLACE(INDEX(GroupVertices[Group],MATCH(Vertices[[#This Row],[Vertex]],GroupVertices[Vertex],0)),1,1,"")</f>
        <v>2</v>
      </c>
      <c r="BB189" s="49">
        <v>0</v>
      </c>
      <c r="BC189" s="50">
        <v>0</v>
      </c>
      <c r="BD189" s="49">
        <v>0</v>
      </c>
      <c r="BE189" s="50">
        <v>0</v>
      </c>
      <c r="BF189" s="49">
        <v>0</v>
      </c>
      <c r="BG189" s="50">
        <v>0</v>
      </c>
      <c r="BH189" s="49">
        <v>37</v>
      </c>
      <c r="BI189" s="50">
        <v>100</v>
      </c>
      <c r="BJ189" s="49">
        <v>37</v>
      </c>
      <c r="BK189" s="49"/>
      <c r="BL189" s="49"/>
      <c r="BM189" s="49"/>
      <c r="BN189" s="49"/>
      <c r="BO189" s="49"/>
      <c r="BP189" s="49"/>
      <c r="BQ189" s="123" t="s">
        <v>5608</v>
      </c>
      <c r="BR189" s="123" t="s">
        <v>5608</v>
      </c>
      <c r="BS189" s="123" t="s">
        <v>5759</v>
      </c>
      <c r="BT189" s="123" t="s">
        <v>5759</v>
      </c>
      <c r="BU189" s="2"/>
      <c r="BV189" s="3"/>
      <c r="BW189" s="3"/>
      <c r="BX189" s="3"/>
      <c r="BY189" s="3"/>
    </row>
    <row r="190" spans="1:77" ht="15">
      <c r="A190" s="65" t="s">
        <v>308</v>
      </c>
      <c r="B190" s="66"/>
      <c r="C190" s="66" t="s">
        <v>46</v>
      </c>
      <c r="D190" s="67"/>
      <c r="E190" s="69"/>
      <c r="F190" s="111" t="str">
        <f>HYPERLINK("https://pbs.twimg.com/profile_images/1431275795708796934/J3u64dgs_normal.jpg")</f>
        <v>https://pbs.twimg.com/profile_images/1431275795708796934/J3u64dgs_normal.jpg</v>
      </c>
      <c r="G190" s="66"/>
      <c r="H190" s="70" t="s">
        <v>308</v>
      </c>
      <c r="I190" s="71" t="s">
        <v>5822</v>
      </c>
      <c r="J190" s="71" t="s">
        <v>73</v>
      </c>
      <c r="K190" s="70" t="s">
        <v>2487</v>
      </c>
      <c r="L190" s="74">
        <v>1</v>
      </c>
      <c r="M190" s="75">
        <v>6215.41357421875</v>
      </c>
      <c r="N190" s="75">
        <v>9579.0380859375</v>
      </c>
      <c r="O190" s="76"/>
      <c r="P190" s="77"/>
      <c r="Q190" s="77"/>
      <c r="R190" s="104"/>
      <c r="S190" s="49">
        <v>0</v>
      </c>
      <c r="T190" s="49">
        <v>2</v>
      </c>
      <c r="U190" s="50">
        <v>0</v>
      </c>
      <c r="V190" s="50">
        <v>0.000894</v>
      </c>
      <c r="W190" s="50">
        <v>0.001914</v>
      </c>
      <c r="X190" s="50">
        <v>0.605386</v>
      </c>
      <c r="Y190" s="50">
        <v>0.5</v>
      </c>
      <c r="Z190" s="50">
        <v>0</v>
      </c>
      <c r="AA190" s="72">
        <v>190</v>
      </c>
      <c r="AB190" s="72"/>
      <c r="AC190" s="73"/>
      <c r="AD190" s="89" t="s">
        <v>1661</v>
      </c>
      <c r="AE190" s="102" t="s">
        <v>1891</v>
      </c>
      <c r="AF190" s="89">
        <v>256</v>
      </c>
      <c r="AG190" s="89">
        <v>130</v>
      </c>
      <c r="AH190" s="89">
        <v>3967</v>
      </c>
      <c r="AI190" s="89">
        <v>6318</v>
      </c>
      <c r="AJ190" s="89"/>
      <c r="AK190" s="89" t="s">
        <v>2121</v>
      </c>
      <c r="AL190" s="89"/>
      <c r="AM190" s="89"/>
      <c r="AN190" s="89"/>
      <c r="AO190" s="92">
        <v>44434.24445601852</v>
      </c>
      <c r="AP190" s="95" t="str">
        <f>HYPERLINK("https://pbs.twimg.com/profile_banners/1430769658383241220/1630077750")</f>
        <v>https://pbs.twimg.com/profile_banners/1430769658383241220/1630077750</v>
      </c>
      <c r="AQ190" s="89" t="b">
        <v>1</v>
      </c>
      <c r="AR190" s="89" t="b">
        <v>0</v>
      </c>
      <c r="AS190" s="89" t="b">
        <v>0</v>
      </c>
      <c r="AT190" s="89"/>
      <c r="AU190" s="89">
        <v>0</v>
      </c>
      <c r="AV190" s="89"/>
      <c r="AW190" s="89" t="b">
        <v>0</v>
      </c>
      <c r="AX190" s="89" t="s">
        <v>2300</v>
      </c>
      <c r="AY190" s="95" t="str">
        <f>HYPERLINK("https://twitter.com/sliquid84")</f>
        <v>https://twitter.com/sliquid84</v>
      </c>
      <c r="AZ190" s="89" t="s">
        <v>66</v>
      </c>
      <c r="BA190" s="89" t="str">
        <f>REPLACE(INDEX(GroupVertices[Group],MATCH(Vertices[[#This Row],[Vertex]],GroupVertices[Vertex],0)),1,1,"")</f>
        <v>5</v>
      </c>
      <c r="BB190" s="49">
        <v>0</v>
      </c>
      <c r="BC190" s="50">
        <v>0</v>
      </c>
      <c r="BD190" s="49">
        <v>0</v>
      </c>
      <c r="BE190" s="50">
        <v>0</v>
      </c>
      <c r="BF190" s="49">
        <v>0</v>
      </c>
      <c r="BG190" s="50">
        <v>0</v>
      </c>
      <c r="BH190" s="49">
        <v>29</v>
      </c>
      <c r="BI190" s="50">
        <v>100</v>
      </c>
      <c r="BJ190" s="49">
        <v>29</v>
      </c>
      <c r="BK190" s="49"/>
      <c r="BL190" s="49"/>
      <c r="BM190" s="49"/>
      <c r="BN190" s="49"/>
      <c r="BO190" s="49" t="s">
        <v>226</v>
      </c>
      <c r="BP190" s="49" t="s">
        <v>226</v>
      </c>
      <c r="BQ190" s="123" t="s">
        <v>5585</v>
      </c>
      <c r="BR190" s="123" t="s">
        <v>5585</v>
      </c>
      <c r="BS190" s="123" t="s">
        <v>5737</v>
      </c>
      <c r="BT190" s="123" t="s">
        <v>5737</v>
      </c>
      <c r="BU190" s="2"/>
      <c r="BV190" s="3"/>
      <c r="BW190" s="3"/>
      <c r="BX190" s="3"/>
      <c r="BY190" s="3"/>
    </row>
    <row r="191" spans="1:77" ht="15">
      <c r="A191" s="65" t="s">
        <v>309</v>
      </c>
      <c r="B191" s="66"/>
      <c r="C191" s="66" t="s">
        <v>46</v>
      </c>
      <c r="D191" s="67"/>
      <c r="E191" s="69"/>
      <c r="F191" s="111" t="str">
        <f>HYPERLINK("https://pbs.twimg.com/profile_images/596055001744609281/cBb206Aw_normal.jpg")</f>
        <v>https://pbs.twimg.com/profile_images/596055001744609281/cBb206Aw_normal.jpg</v>
      </c>
      <c r="G191" s="66"/>
      <c r="H191" s="70" t="s">
        <v>309</v>
      </c>
      <c r="I191" s="71" t="s">
        <v>5833</v>
      </c>
      <c r="J191" s="71" t="s">
        <v>73</v>
      </c>
      <c r="K191" s="70" t="s">
        <v>2488</v>
      </c>
      <c r="L191" s="74">
        <v>1</v>
      </c>
      <c r="M191" s="75">
        <v>9088.1865234375</v>
      </c>
      <c r="N191" s="75">
        <v>778.6106567382812</v>
      </c>
      <c r="O191" s="76"/>
      <c r="P191" s="77"/>
      <c r="Q191" s="77"/>
      <c r="R191" s="104"/>
      <c r="S191" s="49">
        <v>0</v>
      </c>
      <c r="T191" s="49">
        <v>1</v>
      </c>
      <c r="U191" s="50">
        <v>0</v>
      </c>
      <c r="V191" s="50">
        <v>1</v>
      </c>
      <c r="W191" s="50">
        <v>0</v>
      </c>
      <c r="X191" s="50">
        <v>0.999998</v>
      </c>
      <c r="Y191" s="50">
        <v>0</v>
      </c>
      <c r="Z191" s="50">
        <v>0</v>
      </c>
      <c r="AA191" s="72">
        <v>191</v>
      </c>
      <c r="AB191" s="72"/>
      <c r="AC191" s="73"/>
      <c r="AD191" s="89" t="s">
        <v>1662</v>
      </c>
      <c r="AE191" s="102" t="s">
        <v>1892</v>
      </c>
      <c r="AF191" s="89">
        <v>55</v>
      </c>
      <c r="AG191" s="89">
        <v>8</v>
      </c>
      <c r="AH191" s="89">
        <v>1234</v>
      </c>
      <c r="AI191" s="89">
        <v>8934</v>
      </c>
      <c r="AJ191" s="89"/>
      <c r="AK191" s="89" t="s">
        <v>2122</v>
      </c>
      <c r="AL191" s="89"/>
      <c r="AM191" s="95" t="str">
        <f>HYPERLINK("http://t.co/tzDlsFMOv8")</f>
        <v>http://t.co/tzDlsFMOv8</v>
      </c>
      <c r="AN191" s="89"/>
      <c r="AO191" s="92">
        <v>42063.44127314815</v>
      </c>
      <c r="AP191" s="89"/>
      <c r="AQ191" s="89" t="b">
        <v>0</v>
      </c>
      <c r="AR191" s="89" t="b">
        <v>0</v>
      </c>
      <c r="AS191" s="89" t="b">
        <v>0</v>
      </c>
      <c r="AT191" s="89"/>
      <c r="AU191" s="89">
        <v>1</v>
      </c>
      <c r="AV191" s="95" t="str">
        <f>HYPERLINK("https://abs.twimg.com/images/themes/theme1/bg.png")</f>
        <v>https://abs.twimg.com/images/themes/theme1/bg.png</v>
      </c>
      <c r="AW191" s="89" t="b">
        <v>0</v>
      </c>
      <c r="AX191" s="89" t="s">
        <v>2300</v>
      </c>
      <c r="AY191" s="95" t="str">
        <f>HYPERLINK("https://twitter.com/nenuhnet")</f>
        <v>https://twitter.com/nenuhnet</v>
      </c>
      <c r="AZ191" s="89" t="s">
        <v>66</v>
      </c>
      <c r="BA191" s="89" t="str">
        <f>REPLACE(INDEX(GroupVertices[Group],MATCH(Vertices[[#This Row],[Vertex]],GroupVertices[Vertex],0)),1,1,"")</f>
        <v>24</v>
      </c>
      <c r="BB191" s="49">
        <v>0</v>
      </c>
      <c r="BC191" s="50">
        <v>0</v>
      </c>
      <c r="BD191" s="49">
        <v>0</v>
      </c>
      <c r="BE191" s="50">
        <v>0</v>
      </c>
      <c r="BF191" s="49">
        <v>0</v>
      </c>
      <c r="BG191" s="50">
        <v>0</v>
      </c>
      <c r="BH191" s="49">
        <v>6</v>
      </c>
      <c r="BI191" s="50">
        <v>100</v>
      </c>
      <c r="BJ191" s="49">
        <v>6</v>
      </c>
      <c r="BK191" s="49"/>
      <c r="BL191" s="49"/>
      <c r="BM191" s="49"/>
      <c r="BN191" s="49"/>
      <c r="BO191" s="49"/>
      <c r="BP191" s="49"/>
      <c r="BQ191" s="123" t="s">
        <v>5609</v>
      </c>
      <c r="BR191" s="123" t="s">
        <v>5609</v>
      </c>
      <c r="BS191" s="123" t="s">
        <v>5760</v>
      </c>
      <c r="BT191" s="123" t="s">
        <v>5760</v>
      </c>
      <c r="BU191" s="2"/>
      <c r="BV191" s="3"/>
      <c r="BW191" s="3"/>
      <c r="BX191" s="3"/>
      <c r="BY191" s="3"/>
    </row>
    <row r="192" spans="1:77" ht="15">
      <c r="A192" s="65" t="s">
        <v>469</v>
      </c>
      <c r="B192" s="66"/>
      <c r="C192" s="66" t="s">
        <v>46</v>
      </c>
      <c r="D192" s="67">
        <v>10</v>
      </c>
      <c r="E192" s="69"/>
      <c r="F192" s="111" t="str">
        <f>HYPERLINK("https://pbs.twimg.com/profile_images/1452779299384303620/vwENOJjm_normal.jpg")</f>
        <v>https://pbs.twimg.com/profile_images/1452779299384303620/vwENOJjm_normal.jpg</v>
      </c>
      <c r="G192" s="66"/>
      <c r="H192" s="70" t="s">
        <v>469</v>
      </c>
      <c r="I192" s="71" t="s">
        <v>5833</v>
      </c>
      <c r="J192" s="71" t="s">
        <v>75</v>
      </c>
      <c r="K192" s="70" t="s">
        <v>2489</v>
      </c>
      <c r="L192" s="74">
        <v>477.0952380952381</v>
      </c>
      <c r="M192" s="75">
        <v>9088.1865234375</v>
      </c>
      <c r="N192" s="75">
        <v>415.6492919921875</v>
      </c>
      <c r="O192" s="76"/>
      <c r="P192" s="77"/>
      <c r="Q192" s="77"/>
      <c r="R192" s="104"/>
      <c r="S192" s="49">
        <v>1</v>
      </c>
      <c r="T192" s="49">
        <v>0</v>
      </c>
      <c r="U192" s="50">
        <v>0</v>
      </c>
      <c r="V192" s="50">
        <v>1</v>
      </c>
      <c r="W192" s="50">
        <v>0</v>
      </c>
      <c r="X192" s="50">
        <v>0.999998</v>
      </c>
      <c r="Y192" s="50">
        <v>0</v>
      </c>
      <c r="Z192" s="50">
        <v>0</v>
      </c>
      <c r="AA192" s="72">
        <v>192</v>
      </c>
      <c r="AB192" s="72"/>
      <c r="AC192" s="73"/>
      <c r="AD192" s="89" t="s">
        <v>1663</v>
      </c>
      <c r="AE192" s="102" t="s">
        <v>1399</v>
      </c>
      <c r="AF192" s="89">
        <v>2425</v>
      </c>
      <c r="AG192" s="89">
        <v>5585</v>
      </c>
      <c r="AH192" s="89">
        <v>19714</v>
      </c>
      <c r="AI192" s="89">
        <v>59368</v>
      </c>
      <c r="AJ192" s="89"/>
      <c r="AK192" s="89" t="s">
        <v>2123</v>
      </c>
      <c r="AL192" s="89" t="s">
        <v>2271</v>
      </c>
      <c r="AM192" s="95" t="str">
        <f>HYPERLINK("https://t.co/VapIHdZ9aq")</f>
        <v>https://t.co/VapIHdZ9aq</v>
      </c>
      <c r="AN192" s="89"/>
      <c r="AO192" s="92">
        <v>40678.91347222222</v>
      </c>
      <c r="AP192" s="95" t="str">
        <f>HYPERLINK("https://pbs.twimg.com/profile_banners/299323949/1609268155")</f>
        <v>https://pbs.twimg.com/profile_banners/299323949/1609268155</v>
      </c>
      <c r="AQ192" s="89" t="b">
        <v>0</v>
      </c>
      <c r="AR192" s="89" t="b">
        <v>0</v>
      </c>
      <c r="AS192" s="89" t="b">
        <v>1</v>
      </c>
      <c r="AT192" s="89"/>
      <c r="AU192" s="89">
        <v>16</v>
      </c>
      <c r="AV192" s="95" t="str">
        <f>HYPERLINK("https://abs.twimg.com/images/themes/theme1/bg.png")</f>
        <v>https://abs.twimg.com/images/themes/theme1/bg.png</v>
      </c>
      <c r="AW192" s="89" t="b">
        <v>0</v>
      </c>
      <c r="AX192" s="89" t="s">
        <v>2300</v>
      </c>
      <c r="AY192" s="95" t="str">
        <f>HYPERLINK("https://twitter.com/arttuhamalainen")</f>
        <v>https://twitter.com/arttuhamalainen</v>
      </c>
      <c r="AZ192" s="89" t="s">
        <v>65</v>
      </c>
      <c r="BA192" s="89" t="str">
        <f>REPLACE(INDEX(GroupVertices[Group],MATCH(Vertices[[#This Row],[Vertex]],GroupVertices[Vertex],0)),1,1,"")</f>
        <v>24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310</v>
      </c>
      <c r="B193" s="66"/>
      <c r="C193" s="66" t="s">
        <v>46</v>
      </c>
      <c r="D193" s="67"/>
      <c r="E193" s="69"/>
      <c r="F193" s="111" t="str">
        <f>HYPERLINK("https://pbs.twimg.com/profile_images/1281598875074256896/3A3nGgdX_normal.jpg")</f>
        <v>https://pbs.twimg.com/profile_images/1281598875074256896/3A3nGgdX_normal.jpg</v>
      </c>
      <c r="G193" s="66"/>
      <c r="H193" s="70" t="s">
        <v>310</v>
      </c>
      <c r="I193" s="71" t="s">
        <v>5821</v>
      </c>
      <c r="J193" s="71" t="s">
        <v>73</v>
      </c>
      <c r="K193" s="70" t="s">
        <v>2490</v>
      </c>
      <c r="L193" s="74">
        <v>1</v>
      </c>
      <c r="M193" s="75">
        <v>2015.4371337890625</v>
      </c>
      <c r="N193" s="75">
        <v>2591.645263671875</v>
      </c>
      <c r="O193" s="76"/>
      <c r="P193" s="77"/>
      <c r="Q193" s="77"/>
      <c r="R193" s="104"/>
      <c r="S193" s="49">
        <v>0</v>
      </c>
      <c r="T193" s="49">
        <v>3</v>
      </c>
      <c r="U193" s="50">
        <v>0.095238</v>
      </c>
      <c r="V193" s="50">
        <v>0.00089</v>
      </c>
      <c r="W193" s="50">
        <v>0.001362</v>
      </c>
      <c r="X193" s="50">
        <v>0.726222</v>
      </c>
      <c r="Y193" s="50">
        <v>0.3333333333333333</v>
      </c>
      <c r="Z193" s="50">
        <v>0</v>
      </c>
      <c r="AA193" s="72">
        <v>193</v>
      </c>
      <c r="AB193" s="72"/>
      <c r="AC193" s="73"/>
      <c r="AD193" s="89" t="s">
        <v>1664</v>
      </c>
      <c r="AE193" s="102" t="s">
        <v>1893</v>
      </c>
      <c r="AF193" s="89">
        <v>220</v>
      </c>
      <c r="AG193" s="89">
        <v>178</v>
      </c>
      <c r="AH193" s="89">
        <v>4988</v>
      </c>
      <c r="AI193" s="89">
        <v>9216</v>
      </c>
      <c r="AJ193" s="89"/>
      <c r="AK193" s="89" t="s">
        <v>2124</v>
      </c>
      <c r="AL193" s="89" t="s">
        <v>2272</v>
      </c>
      <c r="AM193" s="95" t="str">
        <f>HYPERLINK("https://t.co/OhCEbC3T87")</f>
        <v>https://t.co/OhCEbC3T87</v>
      </c>
      <c r="AN193" s="89"/>
      <c r="AO193" s="92">
        <v>40086.759247685186</v>
      </c>
      <c r="AP193" s="95" t="str">
        <f>HYPERLINK("https://pbs.twimg.com/profile_banners/78670172/1481003939")</f>
        <v>https://pbs.twimg.com/profile_banners/78670172/1481003939</v>
      </c>
      <c r="AQ193" s="89" t="b">
        <v>0</v>
      </c>
      <c r="AR193" s="89" t="b">
        <v>0</v>
      </c>
      <c r="AS193" s="89" t="b">
        <v>0</v>
      </c>
      <c r="AT193" s="89"/>
      <c r="AU193" s="89">
        <v>9</v>
      </c>
      <c r="AV193" s="95" t="str">
        <f>HYPERLINK("https://abs.twimg.com/images/themes/theme1/bg.png")</f>
        <v>https://abs.twimg.com/images/themes/theme1/bg.png</v>
      </c>
      <c r="AW193" s="89" t="b">
        <v>0</v>
      </c>
      <c r="AX193" s="89" t="s">
        <v>2300</v>
      </c>
      <c r="AY193" s="95" t="str">
        <f>HYPERLINK("https://twitter.com/thatbonsaipanda")</f>
        <v>https://twitter.com/thatbonsaipanda</v>
      </c>
      <c r="AZ193" s="89" t="s">
        <v>66</v>
      </c>
      <c r="BA193" s="89" t="str">
        <f>REPLACE(INDEX(GroupVertices[Group],MATCH(Vertices[[#This Row],[Vertex]],GroupVertices[Vertex],0)),1,1,"")</f>
        <v>2</v>
      </c>
      <c r="BB193" s="49">
        <v>0</v>
      </c>
      <c r="BC193" s="50">
        <v>0</v>
      </c>
      <c r="BD193" s="49">
        <v>0</v>
      </c>
      <c r="BE193" s="50">
        <v>0</v>
      </c>
      <c r="BF193" s="49">
        <v>0</v>
      </c>
      <c r="BG193" s="50">
        <v>0</v>
      </c>
      <c r="BH193" s="49">
        <v>38</v>
      </c>
      <c r="BI193" s="50">
        <v>100</v>
      </c>
      <c r="BJ193" s="49">
        <v>38</v>
      </c>
      <c r="BK193" s="49"/>
      <c r="BL193" s="49"/>
      <c r="BM193" s="49"/>
      <c r="BN193" s="49"/>
      <c r="BO193" s="49"/>
      <c r="BP193" s="49"/>
      <c r="BQ193" s="123" t="s">
        <v>5610</v>
      </c>
      <c r="BR193" s="123" t="s">
        <v>5610</v>
      </c>
      <c r="BS193" s="123" t="s">
        <v>5761</v>
      </c>
      <c r="BT193" s="123" t="s">
        <v>5761</v>
      </c>
      <c r="BU193" s="2"/>
      <c r="BV193" s="3"/>
      <c r="BW193" s="3"/>
      <c r="BX193" s="3"/>
      <c r="BY193" s="3"/>
    </row>
    <row r="194" spans="1:77" ht="15">
      <c r="A194" s="65" t="s">
        <v>311</v>
      </c>
      <c r="B194" s="66"/>
      <c r="C194" s="66" t="s">
        <v>46</v>
      </c>
      <c r="D194" s="67"/>
      <c r="E194" s="69"/>
      <c r="F194" s="111" t="str">
        <f>HYPERLINK("https://abs.twimg.com/sticky/default_profile_images/default_profile_normal.png")</f>
        <v>https://abs.twimg.com/sticky/default_profile_images/default_profile_normal.png</v>
      </c>
      <c r="G194" s="66"/>
      <c r="H194" s="70" t="s">
        <v>311</v>
      </c>
      <c r="I194" s="71" t="s">
        <v>5820</v>
      </c>
      <c r="J194" s="71" t="s">
        <v>73</v>
      </c>
      <c r="K194" s="70" t="s">
        <v>2491</v>
      </c>
      <c r="L194" s="74">
        <v>1</v>
      </c>
      <c r="M194" s="75">
        <v>3669.796630859375</v>
      </c>
      <c r="N194" s="75">
        <v>5503.17919921875</v>
      </c>
      <c r="O194" s="76"/>
      <c r="P194" s="77"/>
      <c r="Q194" s="77"/>
      <c r="R194" s="104"/>
      <c r="S194" s="49">
        <v>0</v>
      </c>
      <c r="T194" s="49">
        <v>2</v>
      </c>
      <c r="U194" s="50">
        <v>488</v>
      </c>
      <c r="V194" s="50">
        <v>0.000661</v>
      </c>
      <c r="W194" s="50">
        <v>4E-05</v>
      </c>
      <c r="X194" s="50">
        <v>1.050858</v>
      </c>
      <c r="Y194" s="50">
        <v>0</v>
      </c>
      <c r="Z194" s="50">
        <v>0</v>
      </c>
      <c r="AA194" s="72">
        <v>194</v>
      </c>
      <c r="AB194" s="72"/>
      <c r="AC194" s="73"/>
      <c r="AD194" s="89" t="s">
        <v>1665</v>
      </c>
      <c r="AE194" s="102" t="s">
        <v>1894</v>
      </c>
      <c r="AF194" s="89">
        <v>284</v>
      </c>
      <c r="AG194" s="89">
        <v>45</v>
      </c>
      <c r="AH194" s="89">
        <v>263</v>
      </c>
      <c r="AI194" s="89">
        <v>880</v>
      </c>
      <c r="AJ194" s="89"/>
      <c r="AK194" s="89"/>
      <c r="AL194" s="89"/>
      <c r="AM194" s="89"/>
      <c r="AN194" s="89"/>
      <c r="AO194" s="92">
        <v>44213.519166666665</v>
      </c>
      <c r="AP194" s="89"/>
      <c r="AQ194" s="89" t="b">
        <v>1</v>
      </c>
      <c r="AR194" s="89" t="b">
        <v>1</v>
      </c>
      <c r="AS194" s="89" t="b">
        <v>0</v>
      </c>
      <c r="AT194" s="89"/>
      <c r="AU194" s="89">
        <v>0</v>
      </c>
      <c r="AV194" s="89"/>
      <c r="AW194" s="89" t="b">
        <v>0</v>
      </c>
      <c r="AX194" s="89" t="s">
        <v>2300</v>
      </c>
      <c r="AY194" s="95" t="str">
        <f>HYPERLINK("https://twitter.com/mikkojokela4")</f>
        <v>https://twitter.com/mikkojokela4</v>
      </c>
      <c r="AZ194" s="89" t="s">
        <v>66</v>
      </c>
      <c r="BA194" s="89" t="str">
        <f>REPLACE(INDEX(GroupVertices[Group],MATCH(Vertices[[#This Row],[Vertex]],GroupVertices[Vertex],0)),1,1,"")</f>
        <v>4</v>
      </c>
      <c r="BB194" s="49">
        <v>0</v>
      </c>
      <c r="BC194" s="50">
        <v>0</v>
      </c>
      <c r="BD194" s="49">
        <v>0</v>
      </c>
      <c r="BE194" s="50">
        <v>0</v>
      </c>
      <c r="BF194" s="49">
        <v>0</v>
      </c>
      <c r="BG194" s="50">
        <v>0</v>
      </c>
      <c r="BH194" s="49">
        <v>29</v>
      </c>
      <c r="BI194" s="50">
        <v>100</v>
      </c>
      <c r="BJ194" s="49">
        <v>29</v>
      </c>
      <c r="BK194" s="49"/>
      <c r="BL194" s="49"/>
      <c r="BM194" s="49"/>
      <c r="BN194" s="49"/>
      <c r="BO194" s="49"/>
      <c r="BP194" s="49"/>
      <c r="BQ194" s="123" t="s">
        <v>5611</v>
      </c>
      <c r="BR194" s="123" t="s">
        <v>5611</v>
      </c>
      <c r="BS194" s="123" t="s">
        <v>5762</v>
      </c>
      <c r="BT194" s="123" t="s">
        <v>5762</v>
      </c>
      <c r="BU194" s="2"/>
      <c r="BV194" s="3"/>
      <c r="BW194" s="3"/>
      <c r="BX194" s="3"/>
      <c r="BY194" s="3"/>
    </row>
    <row r="195" spans="1:77" ht="15">
      <c r="A195" s="65" t="s">
        <v>470</v>
      </c>
      <c r="B195" s="66"/>
      <c r="C195" s="66" t="s">
        <v>46</v>
      </c>
      <c r="D195" s="67">
        <v>10</v>
      </c>
      <c r="E195" s="69"/>
      <c r="F195" s="111" t="str">
        <f>HYPERLINK("https://abs.twimg.com/sticky/default_profile_images/default_profile_normal.png")</f>
        <v>https://abs.twimg.com/sticky/default_profile_images/default_profile_normal.png</v>
      </c>
      <c r="G195" s="66"/>
      <c r="H195" s="70" t="s">
        <v>470</v>
      </c>
      <c r="I195" s="71" t="s">
        <v>5820</v>
      </c>
      <c r="J195" s="71" t="s">
        <v>75</v>
      </c>
      <c r="K195" s="70" t="s">
        <v>2492</v>
      </c>
      <c r="L195" s="74">
        <v>477.0952380952381</v>
      </c>
      <c r="M195" s="75">
        <v>3387.58203125</v>
      </c>
      <c r="N195" s="75">
        <v>5366.24755859375</v>
      </c>
      <c r="O195" s="76"/>
      <c r="P195" s="77"/>
      <c r="Q195" s="77"/>
      <c r="R195" s="104"/>
      <c r="S195" s="49">
        <v>1</v>
      </c>
      <c r="T195" s="49">
        <v>0</v>
      </c>
      <c r="U195" s="50">
        <v>0</v>
      </c>
      <c r="V195" s="50">
        <v>0.000569</v>
      </c>
      <c r="W195" s="50">
        <v>5E-06</v>
      </c>
      <c r="X195" s="50">
        <v>0.596615</v>
      </c>
      <c r="Y195" s="50">
        <v>0</v>
      </c>
      <c r="Z195" s="50">
        <v>0</v>
      </c>
      <c r="AA195" s="72">
        <v>195</v>
      </c>
      <c r="AB195" s="72"/>
      <c r="AC195" s="73"/>
      <c r="AD195" s="89" t="s">
        <v>1666</v>
      </c>
      <c r="AE195" s="102" t="s">
        <v>1401</v>
      </c>
      <c r="AF195" s="89">
        <v>37</v>
      </c>
      <c r="AG195" s="89">
        <v>2</v>
      </c>
      <c r="AH195" s="89">
        <v>144</v>
      </c>
      <c r="AI195" s="89">
        <v>376</v>
      </c>
      <c r="AJ195" s="89"/>
      <c r="AK195" s="89"/>
      <c r="AL195" s="89"/>
      <c r="AM195" s="89"/>
      <c r="AN195" s="89"/>
      <c r="AO195" s="92">
        <v>44373.58579861111</v>
      </c>
      <c r="AP195" s="89"/>
      <c r="AQ195" s="89" t="b">
        <v>1</v>
      </c>
      <c r="AR195" s="89" t="b">
        <v>1</v>
      </c>
      <c r="AS195" s="89" t="b">
        <v>0</v>
      </c>
      <c r="AT195" s="89"/>
      <c r="AU195" s="89">
        <v>0</v>
      </c>
      <c r="AV195" s="89"/>
      <c r="AW195" s="89" t="b">
        <v>0</v>
      </c>
      <c r="AX195" s="89" t="s">
        <v>2300</v>
      </c>
      <c r="AY195" s="95" t="str">
        <f>HYPERLINK("https://twitter.com/leenakeinnen1")</f>
        <v>https://twitter.com/leenakeinnen1</v>
      </c>
      <c r="AZ195" s="89" t="s">
        <v>65</v>
      </c>
      <c r="BA195" s="89" t="str">
        <f>REPLACE(INDEX(GroupVertices[Group],MATCH(Vertices[[#This Row],[Vertex]],GroupVertices[Vertex],0)),1,1,"")</f>
        <v>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312</v>
      </c>
      <c r="B196" s="66"/>
      <c r="C196" s="66" t="s">
        <v>46</v>
      </c>
      <c r="D196" s="67"/>
      <c r="E196" s="69"/>
      <c r="F196" s="111" t="str">
        <f>HYPERLINK("https://pbs.twimg.com/profile_images/1364527962851336194/0wtcLN1q_normal.jpg")</f>
        <v>https://pbs.twimg.com/profile_images/1364527962851336194/0wtcLN1q_normal.jpg</v>
      </c>
      <c r="G196" s="66"/>
      <c r="H196" s="70" t="s">
        <v>312</v>
      </c>
      <c r="I196" s="71" t="s">
        <v>5834</v>
      </c>
      <c r="J196" s="71" t="s">
        <v>73</v>
      </c>
      <c r="K196" s="70" t="s">
        <v>2493</v>
      </c>
      <c r="L196" s="74">
        <v>1</v>
      </c>
      <c r="M196" s="75">
        <v>3760.38037109375</v>
      </c>
      <c r="N196" s="75">
        <v>1648.9163818359375</v>
      </c>
      <c r="O196" s="76"/>
      <c r="P196" s="77"/>
      <c r="Q196" s="77"/>
      <c r="R196" s="104"/>
      <c r="S196" s="49">
        <v>0</v>
      </c>
      <c r="T196" s="49">
        <v>3</v>
      </c>
      <c r="U196" s="50">
        <v>0.111111</v>
      </c>
      <c r="V196" s="50">
        <v>0.000873</v>
      </c>
      <c r="W196" s="50">
        <v>0.020768000000000002</v>
      </c>
      <c r="X196" s="50">
        <v>0.627945</v>
      </c>
      <c r="Y196" s="50">
        <v>0.3333333333333333</v>
      </c>
      <c r="Z196" s="50">
        <v>0</v>
      </c>
      <c r="AA196" s="72">
        <v>196</v>
      </c>
      <c r="AB196" s="72"/>
      <c r="AC196" s="73"/>
      <c r="AD196" s="89" t="s">
        <v>1667</v>
      </c>
      <c r="AE196" s="102" t="s">
        <v>1895</v>
      </c>
      <c r="AF196" s="89">
        <v>783</v>
      </c>
      <c r="AG196" s="89">
        <v>1202</v>
      </c>
      <c r="AH196" s="89">
        <v>11609</v>
      </c>
      <c r="AI196" s="89">
        <v>16741</v>
      </c>
      <c r="AJ196" s="89"/>
      <c r="AK196" s="89" t="s">
        <v>2125</v>
      </c>
      <c r="AL196" s="89" t="s">
        <v>2273</v>
      </c>
      <c r="AM196" s="95" t="str">
        <f>HYPERLINK("https://t.co/cFqqem32rk")</f>
        <v>https://t.co/cFqqem32rk</v>
      </c>
      <c r="AN196" s="89"/>
      <c r="AO196" s="92">
        <v>39905.83965277778</v>
      </c>
      <c r="AP196" s="95" t="str">
        <f>HYPERLINK("https://pbs.twimg.com/profile_banners/28408744/1558290641")</f>
        <v>https://pbs.twimg.com/profile_banners/28408744/1558290641</v>
      </c>
      <c r="AQ196" s="89" t="b">
        <v>0</v>
      </c>
      <c r="AR196" s="89" t="b">
        <v>0</v>
      </c>
      <c r="AS196" s="89" t="b">
        <v>0</v>
      </c>
      <c r="AT196" s="89"/>
      <c r="AU196" s="89">
        <v>8</v>
      </c>
      <c r="AV196" s="95" t="str">
        <f>HYPERLINK("https://abs.twimg.com/images/themes/theme4/bg.gif")</f>
        <v>https://abs.twimg.com/images/themes/theme4/bg.gif</v>
      </c>
      <c r="AW196" s="89" t="b">
        <v>0</v>
      </c>
      <c r="AX196" s="89" t="s">
        <v>2300</v>
      </c>
      <c r="AY196" s="95" t="str">
        <f>HYPERLINK("https://twitter.com/lundeee")</f>
        <v>https://twitter.com/lundeee</v>
      </c>
      <c r="AZ196" s="89" t="s">
        <v>66</v>
      </c>
      <c r="BA196" s="89" t="str">
        <f>REPLACE(INDEX(GroupVertices[Group],MATCH(Vertices[[#This Row],[Vertex]],GroupVertices[Vertex],0)),1,1,"")</f>
        <v>3</v>
      </c>
      <c r="BB196" s="49">
        <v>0</v>
      </c>
      <c r="BC196" s="50">
        <v>0</v>
      </c>
      <c r="BD196" s="49">
        <v>0</v>
      </c>
      <c r="BE196" s="50">
        <v>0</v>
      </c>
      <c r="BF196" s="49">
        <v>0</v>
      </c>
      <c r="BG196" s="50">
        <v>0</v>
      </c>
      <c r="BH196" s="49">
        <v>13</v>
      </c>
      <c r="BI196" s="50">
        <v>100</v>
      </c>
      <c r="BJ196" s="49">
        <v>13</v>
      </c>
      <c r="BK196" s="49"/>
      <c r="BL196" s="49"/>
      <c r="BM196" s="49"/>
      <c r="BN196" s="49"/>
      <c r="BO196" s="49" t="s">
        <v>712</v>
      </c>
      <c r="BP196" s="49" t="s">
        <v>712</v>
      </c>
      <c r="BQ196" s="123" t="s">
        <v>5561</v>
      </c>
      <c r="BR196" s="123" t="s">
        <v>5561</v>
      </c>
      <c r="BS196" s="123" t="s">
        <v>5713</v>
      </c>
      <c r="BT196" s="123" t="s">
        <v>5713</v>
      </c>
      <c r="BU196" s="2"/>
      <c r="BV196" s="3"/>
      <c r="BW196" s="3"/>
      <c r="BX196" s="3"/>
      <c r="BY196" s="3"/>
    </row>
    <row r="197" spans="1:77" ht="15">
      <c r="A197" s="65" t="s">
        <v>313</v>
      </c>
      <c r="B197" s="66"/>
      <c r="C197" s="66" t="s">
        <v>46</v>
      </c>
      <c r="D197" s="67"/>
      <c r="E197" s="69"/>
      <c r="F197" s="111" t="str">
        <f>HYPERLINK("https://pbs.twimg.com/profile_images/1244661543649902596/Jd-d7qQx_normal.jpg")</f>
        <v>https://pbs.twimg.com/profile_images/1244661543649902596/Jd-d7qQx_normal.jpg</v>
      </c>
      <c r="G197" s="66"/>
      <c r="H197" s="70" t="s">
        <v>313</v>
      </c>
      <c r="I197" s="71" t="s">
        <v>5821</v>
      </c>
      <c r="J197" s="71" t="s">
        <v>73</v>
      </c>
      <c r="K197" s="70" t="s">
        <v>2494</v>
      </c>
      <c r="L197" s="74">
        <v>1</v>
      </c>
      <c r="M197" s="75">
        <v>1504.53076171875</v>
      </c>
      <c r="N197" s="75">
        <v>1915.57763671875</v>
      </c>
      <c r="O197" s="76"/>
      <c r="P197" s="77"/>
      <c r="Q197" s="77"/>
      <c r="R197" s="104"/>
      <c r="S197" s="49">
        <v>0</v>
      </c>
      <c r="T197" s="49">
        <v>3</v>
      </c>
      <c r="U197" s="50">
        <v>0.095238</v>
      </c>
      <c r="V197" s="50">
        <v>0.00089</v>
      </c>
      <c r="W197" s="50">
        <v>0.001362</v>
      </c>
      <c r="X197" s="50">
        <v>0.726222</v>
      </c>
      <c r="Y197" s="50">
        <v>0.3333333333333333</v>
      </c>
      <c r="Z197" s="50">
        <v>0</v>
      </c>
      <c r="AA197" s="72">
        <v>197</v>
      </c>
      <c r="AB197" s="72"/>
      <c r="AC197" s="73"/>
      <c r="AD197" s="89" t="s">
        <v>1668</v>
      </c>
      <c r="AE197" s="102" t="s">
        <v>1896</v>
      </c>
      <c r="AF197" s="89">
        <v>310</v>
      </c>
      <c r="AG197" s="89">
        <v>151</v>
      </c>
      <c r="AH197" s="89">
        <v>18609</v>
      </c>
      <c r="AI197" s="89">
        <v>11312</v>
      </c>
      <c r="AJ197" s="89"/>
      <c r="AK197" s="89" t="s">
        <v>2126</v>
      </c>
      <c r="AL197" s="89" t="s">
        <v>2223</v>
      </c>
      <c r="AM197" s="89"/>
      <c r="AN197" s="89"/>
      <c r="AO197" s="92">
        <v>43359.29828703704</v>
      </c>
      <c r="AP197" s="95" t="str">
        <f>HYPERLINK("https://pbs.twimg.com/profile_banners/1041222535759593472/1623735545")</f>
        <v>https://pbs.twimg.com/profile_banners/1041222535759593472/1623735545</v>
      </c>
      <c r="AQ197" s="89" t="b">
        <v>1</v>
      </c>
      <c r="AR197" s="89" t="b">
        <v>0</v>
      </c>
      <c r="AS197" s="89" t="b">
        <v>0</v>
      </c>
      <c r="AT197" s="89"/>
      <c r="AU197" s="89">
        <v>1</v>
      </c>
      <c r="AV197" s="89"/>
      <c r="AW197" s="89" t="b">
        <v>0</v>
      </c>
      <c r="AX197" s="89" t="s">
        <v>2300</v>
      </c>
      <c r="AY197" s="95" t="str">
        <f>HYPERLINK("https://twitter.com/tiedonhalu")</f>
        <v>https://twitter.com/tiedonhalu</v>
      </c>
      <c r="AZ197" s="89" t="s">
        <v>66</v>
      </c>
      <c r="BA197" s="89" t="str">
        <f>REPLACE(INDEX(GroupVertices[Group],MATCH(Vertices[[#This Row],[Vertex]],GroupVertices[Vertex],0)),1,1,"")</f>
        <v>2</v>
      </c>
      <c r="BB197" s="49">
        <v>0</v>
      </c>
      <c r="BC197" s="50">
        <v>0</v>
      </c>
      <c r="BD197" s="49">
        <v>0</v>
      </c>
      <c r="BE197" s="50">
        <v>0</v>
      </c>
      <c r="BF197" s="49">
        <v>0</v>
      </c>
      <c r="BG197" s="50">
        <v>0</v>
      </c>
      <c r="BH197" s="49">
        <v>33</v>
      </c>
      <c r="BI197" s="50">
        <v>100</v>
      </c>
      <c r="BJ197" s="49">
        <v>33</v>
      </c>
      <c r="BK197" s="49"/>
      <c r="BL197" s="49"/>
      <c r="BM197" s="49"/>
      <c r="BN197" s="49"/>
      <c r="BO197" s="49" t="s">
        <v>713</v>
      </c>
      <c r="BP197" s="49" t="s">
        <v>713</v>
      </c>
      <c r="BQ197" s="123" t="s">
        <v>5612</v>
      </c>
      <c r="BR197" s="123" t="s">
        <v>5612</v>
      </c>
      <c r="BS197" s="123" t="s">
        <v>5763</v>
      </c>
      <c r="BT197" s="123" t="s">
        <v>5763</v>
      </c>
      <c r="BU197" s="2"/>
      <c r="BV197" s="3"/>
      <c r="BW197" s="3"/>
      <c r="BX197" s="3"/>
      <c r="BY197" s="3"/>
    </row>
    <row r="198" spans="1:77" ht="15">
      <c r="A198" s="65" t="s">
        <v>314</v>
      </c>
      <c r="B198" s="66"/>
      <c r="C198" s="66" t="s">
        <v>46</v>
      </c>
      <c r="D198" s="67"/>
      <c r="E198" s="69"/>
      <c r="F198" s="111" t="str">
        <f>HYPERLINK("https://abs.twimg.com/sticky/default_profile_images/default_profile_normal.png")</f>
        <v>https://abs.twimg.com/sticky/default_profile_images/default_profile_normal.png</v>
      </c>
      <c r="G198" s="66"/>
      <c r="H198" s="70" t="s">
        <v>314</v>
      </c>
      <c r="I198" s="71" t="s">
        <v>5818</v>
      </c>
      <c r="J198" s="71" t="s">
        <v>73</v>
      </c>
      <c r="K198" s="70" t="s">
        <v>2495</v>
      </c>
      <c r="L198" s="74">
        <v>1</v>
      </c>
      <c r="M198" s="75">
        <v>2058.19091796875</v>
      </c>
      <c r="N198" s="75">
        <v>8604.2236328125</v>
      </c>
      <c r="O198" s="76"/>
      <c r="P198" s="77"/>
      <c r="Q198" s="77"/>
      <c r="R198" s="104"/>
      <c r="S198" s="49">
        <v>0</v>
      </c>
      <c r="T198" s="49">
        <v>2</v>
      </c>
      <c r="U198" s="50">
        <v>0</v>
      </c>
      <c r="V198" s="50">
        <v>0.000898</v>
      </c>
      <c r="W198" s="50">
        <v>0.000717</v>
      </c>
      <c r="X198" s="50">
        <v>0.588957</v>
      </c>
      <c r="Y198" s="50">
        <v>1</v>
      </c>
      <c r="Z198" s="50">
        <v>0</v>
      </c>
      <c r="AA198" s="72">
        <v>198</v>
      </c>
      <c r="AB198" s="72"/>
      <c r="AC198" s="73"/>
      <c r="AD198" s="89" t="s">
        <v>1669</v>
      </c>
      <c r="AE198" s="102" t="s">
        <v>1897</v>
      </c>
      <c r="AF198" s="89">
        <v>188</v>
      </c>
      <c r="AG198" s="89">
        <v>89</v>
      </c>
      <c r="AH198" s="89">
        <v>8584</v>
      </c>
      <c r="AI198" s="89">
        <v>11925</v>
      </c>
      <c r="AJ198" s="89"/>
      <c r="AK198" s="89" t="s">
        <v>2127</v>
      </c>
      <c r="AL198" s="89"/>
      <c r="AM198" s="89"/>
      <c r="AN198" s="89"/>
      <c r="AO198" s="92">
        <v>44392.520682870374</v>
      </c>
      <c r="AP198" s="89"/>
      <c r="AQ198" s="89" t="b">
        <v>1</v>
      </c>
      <c r="AR198" s="89" t="b">
        <v>1</v>
      </c>
      <c r="AS198" s="89" t="b">
        <v>0</v>
      </c>
      <c r="AT198" s="89"/>
      <c r="AU198" s="89">
        <v>1</v>
      </c>
      <c r="AV198" s="89"/>
      <c r="AW198" s="89" t="b">
        <v>0</v>
      </c>
      <c r="AX198" s="89" t="s">
        <v>2300</v>
      </c>
      <c r="AY198" s="95" t="str">
        <f>HYPERLINK("https://twitter.com/eskoluukkonen4")</f>
        <v>https://twitter.com/eskoluukkonen4</v>
      </c>
      <c r="AZ198" s="89" t="s">
        <v>66</v>
      </c>
      <c r="BA198" s="89" t="str">
        <f>REPLACE(INDEX(GroupVertices[Group],MATCH(Vertices[[#This Row],[Vertex]],GroupVertices[Vertex],0)),1,1,"")</f>
        <v>1</v>
      </c>
      <c r="BB198" s="49">
        <v>0</v>
      </c>
      <c r="BC198" s="50">
        <v>0</v>
      </c>
      <c r="BD198" s="49">
        <v>0</v>
      </c>
      <c r="BE198" s="50">
        <v>0</v>
      </c>
      <c r="BF198" s="49">
        <v>0</v>
      </c>
      <c r="BG198" s="50">
        <v>0</v>
      </c>
      <c r="BH198" s="49">
        <v>28</v>
      </c>
      <c r="BI198" s="50">
        <v>100</v>
      </c>
      <c r="BJ198" s="49">
        <v>28</v>
      </c>
      <c r="BK198" s="49"/>
      <c r="BL198" s="49"/>
      <c r="BM198" s="49"/>
      <c r="BN198" s="49"/>
      <c r="BO198" s="49"/>
      <c r="BP198" s="49"/>
      <c r="BQ198" s="123" t="s">
        <v>5603</v>
      </c>
      <c r="BR198" s="123" t="s">
        <v>5603</v>
      </c>
      <c r="BS198" s="123" t="s">
        <v>5754</v>
      </c>
      <c r="BT198" s="123" t="s">
        <v>5754</v>
      </c>
      <c r="BU198" s="2"/>
      <c r="BV198" s="3"/>
      <c r="BW198" s="3"/>
      <c r="BX198" s="3"/>
      <c r="BY198" s="3"/>
    </row>
    <row r="199" spans="1:77" ht="15">
      <c r="A199" s="65" t="s">
        <v>315</v>
      </c>
      <c r="B199" s="66"/>
      <c r="C199" s="66" t="s">
        <v>46</v>
      </c>
      <c r="D199" s="67">
        <v>10</v>
      </c>
      <c r="E199" s="69"/>
      <c r="F199" s="111" t="str">
        <f>HYPERLINK("https://pbs.twimg.com/profile_images/1385369904065355777/GhSKovG4_normal.jpg")</f>
        <v>https://pbs.twimg.com/profile_images/1385369904065355777/GhSKovG4_normal.jpg</v>
      </c>
      <c r="G199" s="66"/>
      <c r="H199" s="70" t="s">
        <v>315</v>
      </c>
      <c r="I199" s="71" t="s">
        <v>5824</v>
      </c>
      <c r="J199" s="71" t="s">
        <v>73</v>
      </c>
      <c r="K199" s="70" t="s">
        <v>2496</v>
      </c>
      <c r="L199" s="74">
        <v>477.0952380952381</v>
      </c>
      <c r="M199" s="75"/>
      <c r="N199" s="75"/>
      <c r="O199" s="76"/>
      <c r="P199" s="77"/>
      <c r="Q199" s="77"/>
      <c r="R199" s="104"/>
      <c r="S199" s="49">
        <v>1</v>
      </c>
      <c r="T199" s="49">
        <v>1</v>
      </c>
      <c r="U199" s="50">
        <v>0</v>
      </c>
      <c r="V199" s="50">
        <v>0</v>
      </c>
      <c r="W199" s="50">
        <v>0</v>
      </c>
      <c r="X199" s="50">
        <v>0.999998</v>
      </c>
      <c r="Y199" s="50">
        <v>0</v>
      </c>
      <c r="Z199" s="50">
        <v>0</v>
      </c>
      <c r="AA199" s="72">
        <v>199</v>
      </c>
      <c r="AB199" s="72"/>
      <c r="AC199" s="73"/>
      <c r="AD199" s="89" t="s">
        <v>1670</v>
      </c>
      <c r="AE199" s="102" t="s">
        <v>1898</v>
      </c>
      <c r="AF199" s="89">
        <v>1653</v>
      </c>
      <c r="AG199" s="89">
        <v>344</v>
      </c>
      <c r="AH199" s="89">
        <v>16478</v>
      </c>
      <c r="AI199" s="89">
        <v>51181</v>
      </c>
      <c r="AJ199" s="89"/>
      <c r="AK199" s="89" t="s">
        <v>2128</v>
      </c>
      <c r="AL199" s="89"/>
      <c r="AM199" s="89"/>
      <c r="AN199" s="89"/>
      <c r="AO199" s="92">
        <v>39203.73782407407</v>
      </c>
      <c r="AP199" s="95" t="str">
        <f>HYPERLINK("https://pbs.twimg.com/profile_banners/5689782/1616711180")</f>
        <v>https://pbs.twimg.com/profile_banners/5689782/1616711180</v>
      </c>
      <c r="AQ199" s="89" t="b">
        <v>0</v>
      </c>
      <c r="AR199" s="89" t="b">
        <v>0</v>
      </c>
      <c r="AS199" s="89" t="b">
        <v>0</v>
      </c>
      <c r="AT199" s="89"/>
      <c r="AU199" s="89">
        <v>4</v>
      </c>
      <c r="AV199" s="95" t="str">
        <f>HYPERLINK("https://abs.twimg.com/images/themes/theme6/bg.gif")</f>
        <v>https://abs.twimg.com/images/themes/theme6/bg.gif</v>
      </c>
      <c r="AW199" s="89" t="b">
        <v>0</v>
      </c>
      <c r="AX199" s="89" t="s">
        <v>2300</v>
      </c>
      <c r="AY199" s="95" t="str">
        <f>HYPERLINK("https://twitter.com/nullius_")</f>
        <v>https://twitter.com/nullius_</v>
      </c>
      <c r="AZ199" s="89" t="s">
        <v>66</v>
      </c>
      <c r="BA199" s="89" t="str">
        <f>REPLACE(INDEX(GroupVertices[Group],MATCH(Vertices[[#This Row],[Vertex]],GroupVertices[Vertex],0)),1,1,"")</f>
        <v>16</v>
      </c>
      <c r="BB199" s="49">
        <v>0</v>
      </c>
      <c r="BC199" s="50">
        <v>0</v>
      </c>
      <c r="BD199" s="49">
        <v>0</v>
      </c>
      <c r="BE199" s="50">
        <v>0</v>
      </c>
      <c r="BF199" s="49">
        <v>0</v>
      </c>
      <c r="BG199" s="50">
        <v>0</v>
      </c>
      <c r="BH199" s="49">
        <v>18</v>
      </c>
      <c r="BI199" s="50">
        <v>100</v>
      </c>
      <c r="BJ199" s="49">
        <v>18</v>
      </c>
      <c r="BK199" s="49" t="s">
        <v>5191</v>
      </c>
      <c r="BL199" s="49" t="s">
        <v>5191</v>
      </c>
      <c r="BM199" s="49" t="s">
        <v>691</v>
      </c>
      <c r="BN199" s="49" t="s">
        <v>691</v>
      </c>
      <c r="BO199" s="49"/>
      <c r="BP199" s="49"/>
      <c r="BQ199" s="123" t="s">
        <v>5613</v>
      </c>
      <c r="BR199" s="123" t="s">
        <v>5613</v>
      </c>
      <c r="BS199" s="123" t="s">
        <v>5764</v>
      </c>
      <c r="BT199" s="123" t="s">
        <v>5764</v>
      </c>
      <c r="BU199" s="2"/>
      <c r="BV199" s="3"/>
      <c r="BW199" s="3"/>
      <c r="BX199" s="3"/>
      <c r="BY199" s="3"/>
    </row>
    <row r="200" spans="1:77" ht="15">
      <c r="A200" s="65" t="s">
        <v>316</v>
      </c>
      <c r="B200" s="66"/>
      <c r="C200" s="66" t="s">
        <v>46</v>
      </c>
      <c r="D200" s="67"/>
      <c r="E200" s="69"/>
      <c r="F200" s="111" t="str">
        <f>HYPERLINK("https://abs.twimg.com/sticky/default_profile_images/default_profile_normal.png")</f>
        <v>https://abs.twimg.com/sticky/default_profile_images/default_profile_normal.png</v>
      </c>
      <c r="G200" s="66"/>
      <c r="H200" s="70" t="s">
        <v>316</v>
      </c>
      <c r="I200" s="71" t="s">
        <v>5818</v>
      </c>
      <c r="J200" s="71" t="s">
        <v>73</v>
      </c>
      <c r="K200" s="70" t="s">
        <v>2497</v>
      </c>
      <c r="L200" s="74">
        <v>1</v>
      </c>
      <c r="M200" s="75">
        <v>1884.47705078125</v>
      </c>
      <c r="N200" s="75">
        <v>7797.66064453125</v>
      </c>
      <c r="O200" s="76"/>
      <c r="P200" s="77"/>
      <c r="Q200" s="77"/>
      <c r="R200" s="104"/>
      <c r="S200" s="49">
        <v>0</v>
      </c>
      <c r="T200" s="49">
        <v>2</v>
      </c>
      <c r="U200" s="50">
        <v>0</v>
      </c>
      <c r="V200" s="50">
        <v>0.000891</v>
      </c>
      <c r="W200" s="50">
        <v>0.000667</v>
      </c>
      <c r="X200" s="50">
        <v>0.583431</v>
      </c>
      <c r="Y200" s="50">
        <v>1</v>
      </c>
      <c r="Z200" s="50">
        <v>0</v>
      </c>
      <c r="AA200" s="72">
        <v>200</v>
      </c>
      <c r="AB200" s="72"/>
      <c r="AC200" s="73"/>
      <c r="AD200" s="89" t="s">
        <v>1671</v>
      </c>
      <c r="AE200" s="102" t="s">
        <v>1899</v>
      </c>
      <c r="AF200" s="89">
        <v>85</v>
      </c>
      <c r="AG200" s="89">
        <v>5</v>
      </c>
      <c r="AH200" s="89">
        <v>140</v>
      </c>
      <c r="AI200" s="89">
        <v>1256</v>
      </c>
      <c r="AJ200" s="89"/>
      <c r="AK200" s="89"/>
      <c r="AL200" s="89"/>
      <c r="AM200" s="89"/>
      <c r="AN200" s="89"/>
      <c r="AO200" s="92">
        <v>44144.71145833333</v>
      </c>
      <c r="AP200" s="89"/>
      <c r="AQ200" s="89" t="b">
        <v>1</v>
      </c>
      <c r="AR200" s="89" t="b">
        <v>1</v>
      </c>
      <c r="AS200" s="89" t="b">
        <v>0</v>
      </c>
      <c r="AT200" s="89"/>
      <c r="AU200" s="89">
        <v>0</v>
      </c>
      <c r="AV200" s="89"/>
      <c r="AW200" s="89" t="b">
        <v>0</v>
      </c>
      <c r="AX200" s="89" t="s">
        <v>2300</v>
      </c>
      <c r="AY200" s="95" t="str">
        <f>HYPERLINK("https://twitter.com/grrr_marta")</f>
        <v>https://twitter.com/grrr_marta</v>
      </c>
      <c r="AZ200" s="89" t="s">
        <v>66</v>
      </c>
      <c r="BA200" s="89" t="str">
        <f>REPLACE(INDEX(GroupVertices[Group],MATCH(Vertices[[#This Row],[Vertex]],GroupVertices[Vertex],0)),1,1,"")</f>
        <v>1</v>
      </c>
      <c r="BB200" s="49">
        <v>0</v>
      </c>
      <c r="BC200" s="50">
        <v>0</v>
      </c>
      <c r="BD200" s="49">
        <v>0</v>
      </c>
      <c r="BE200" s="50">
        <v>0</v>
      </c>
      <c r="BF200" s="49">
        <v>0</v>
      </c>
      <c r="BG200" s="50">
        <v>0</v>
      </c>
      <c r="BH200" s="49">
        <v>24</v>
      </c>
      <c r="BI200" s="50">
        <v>100</v>
      </c>
      <c r="BJ200" s="49">
        <v>24</v>
      </c>
      <c r="BK200" s="49"/>
      <c r="BL200" s="49"/>
      <c r="BM200" s="49"/>
      <c r="BN200" s="49"/>
      <c r="BO200" s="49"/>
      <c r="BP200" s="49"/>
      <c r="BQ200" s="123" t="s">
        <v>5597</v>
      </c>
      <c r="BR200" s="123" t="s">
        <v>5597</v>
      </c>
      <c r="BS200" s="123" t="s">
        <v>5749</v>
      </c>
      <c r="BT200" s="123" t="s">
        <v>5749</v>
      </c>
      <c r="BU200" s="2"/>
      <c r="BV200" s="3"/>
      <c r="BW200" s="3"/>
      <c r="BX200" s="3"/>
      <c r="BY200" s="3"/>
    </row>
    <row r="201" spans="1:77" ht="15">
      <c r="A201" s="65" t="s">
        <v>317</v>
      </c>
      <c r="B201" s="66"/>
      <c r="C201" s="66" t="s">
        <v>46</v>
      </c>
      <c r="D201" s="67"/>
      <c r="E201" s="69"/>
      <c r="F201" s="111" t="str">
        <f>HYPERLINK("https://pbs.twimg.com/profile_images/3278784226/0bd8ebdcc1d708e887687e3560613ca0_normal.gif")</f>
        <v>https://pbs.twimg.com/profile_images/3278784226/0bd8ebdcc1d708e887687e3560613ca0_normal.gif</v>
      </c>
      <c r="G201" s="66"/>
      <c r="H201" s="70" t="s">
        <v>317</v>
      </c>
      <c r="I201" s="71" t="s">
        <v>5821</v>
      </c>
      <c r="J201" s="71" t="s">
        <v>73</v>
      </c>
      <c r="K201" s="70" t="s">
        <v>2498</v>
      </c>
      <c r="L201" s="74">
        <v>1</v>
      </c>
      <c r="M201" s="75">
        <v>1480.1494140625</v>
      </c>
      <c r="N201" s="75">
        <v>3043.601806640625</v>
      </c>
      <c r="O201" s="76"/>
      <c r="P201" s="77"/>
      <c r="Q201" s="77"/>
      <c r="R201" s="104"/>
      <c r="S201" s="49">
        <v>0</v>
      </c>
      <c r="T201" s="49">
        <v>2</v>
      </c>
      <c r="U201" s="50">
        <v>0.095238</v>
      </c>
      <c r="V201" s="50">
        <v>0.000889</v>
      </c>
      <c r="W201" s="50">
        <v>0.001008</v>
      </c>
      <c r="X201" s="50">
        <v>0.538261</v>
      </c>
      <c r="Y201" s="50">
        <v>0</v>
      </c>
      <c r="Z201" s="50">
        <v>0</v>
      </c>
      <c r="AA201" s="72">
        <v>201</v>
      </c>
      <c r="AB201" s="72"/>
      <c r="AC201" s="73"/>
      <c r="AD201" s="89" t="s">
        <v>1672</v>
      </c>
      <c r="AE201" s="102" t="s">
        <v>1900</v>
      </c>
      <c r="AF201" s="89">
        <v>296</v>
      </c>
      <c r="AG201" s="89">
        <v>118</v>
      </c>
      <c r="AH201" s="89">
        <v>429</v>
      </c>
      <c r="AI201" s="89">
        <v>938</v>
      </c>
      <c r="AJ201" s="89"/>
      <c r="AK201" s="89" t="s">
        <v>2129</v>
      </c>
      <c r="AL201" s="89"/>
      <c r="AM201" s="89"/>
      <c r="AN201" s="89"/>
      <c r="AO201" s="92">
        <v>41324.72085648148</v>
      </c>
      <c r="AP201" s="89"/>
      <c r="AQ201" s="89" t="b">
        <v>1</v>
      </c>
      <c r="AR201" s="89" t="b">
        <v>0</v>
      </c>
      <c r="AS201" s="89" t="b">
        <v>0</v>
      </c>
      <c r="AT201" s="89"/>
      <c r="AU201" s="89">
        <v>0</v>
      </c>
      <c r="AV201" s="95" t="str">
        <f>HYPERLINK("https://abs.twimg.com/images/themes/theme1/bg.png")</f>
        <v>https://abs.twimg.com/images/themes/theme1/bg.png</v>
      </c>
      <c r="AW201" s="89" t="b">
        <v>0</v>
      </c>
      <c r="AX201" s="89" t="s">
        <v>2300</v>
      </c>
      <c r="AY201" s="95" t="str">
        <f>HYPERLINK("https://twitter.com/akottarainen")</f>
        <v>https://twitter.com/akottarainen</v>
      </c>
      <c r="AZ201" s="89" t="s">
        <v>66</v>
      </c>
      <c r="BA201" s="89" t="str">
        <f>REPLACE(INDEX(GroupVertices[Group],MATCH(Vertices[[#This Row],[Vertex]],GroupVertices[Vertex],0)),1,1,"")</f>
        <v>2</v>
      </c>
      <c r="BB201" s="49">
        <v>0</v>
      </c>
      <c r="BC201" s="50">
        <v>0</v>
      </c>
      <c r="BD201" s="49">
        <v>0</v>
      </c>
      <c r="BE201" s="50">
        <v>0</v>
      </c>
      <c r="BF201" s="49">
        <v>0</v>
      </c>
      <c r="BG201" s="50">
        <v>0</v>
      </c>
      <c r="BH201" s="49">
        <v>36</v>
      </c>
      <c r="BI201" s="50">
        <v>100</v>
      </c>
      <c r="BJ201" s="49">
        <v>36</v>
      </c>
      <c r="BK201" s="49"/>
      <c r="BL201" s="49"/>
      <c r="BM201" s="49"/>
      <c r="BN201" s="49"/>
      <c r="BO201" s="49"/>
      <c r="BP201" s="49"/>
      <c r="BQ201" s="123" t="s">
        <v>5614</v>
      </c>
      <c r="BR201" s="123" t="s">
        <v>5614</v>
      </c>
      <c r="BS201" s="123" t="s">
        <v>5765</v>
      </c>
      <c r="BT201" s="123" t="s">
        <v>5765</v>
      </c>
      <c r="BU201" s="2"/>
      <c r="BV201" s="3"/>
      <c r="BW201" s="3"/>
      <c r="BX201" s="3"/>
      <c r="BY201" s="3"/>
    </row>
    <row r="202" spans="1:77" ht="15">
      <c r="A202" s="65" t="s">
        <v>318</v>
      </c>
      <c r="B202" s="66"/>
      <c r="C202" s="66" t="s">
        <v>46</v>
      </c>
      <c r="D202" s="67"/>
      <c r="E202" s="69"/>
      <c r="F202" s="111" t="str">
        <f>HYPERLINK("https://pbs.twimg.com/profile_images/1460388526961344516/Iq252bVI_normal.jpg")</f>
        <v>https://pbs.twimg.com/profile_images/1460388526961344516/Iq252bVI_normal.jpg</v>
      </c>
      <c r="G202" s="66"/>
      <c r="H202" s="70" t="s">
        <v>318</v>
      </c>
      <c r="I202" s="71" t="s">
        <v>5836</v>
      </c>
      <c r="J202" s="71" t="s">
        <v>73</v>
      </c>
      <c r="K202" s="70" t="s">
        <v>2499</v>
      </c>
      <c r="L202" s="74">
        <v>1</v>
      </c>
      <c r="M202" s="75">
        <v>9679.8828125</v>
      </c>
      <c r="N202" s="75">
        <v>1680.1597900390625</v>
      </c>
      <c r="O202" s="76"/>
      <c r="P202" s="77"/>
      <c r="Q202" s="77"/>
      <c r="R202" s="104"/>
      <c r="S202" s="49">
        <v>0</v>
      </c>
      <c r="T202" s="49">
        <v>1</v>
      </c>
      <c r="U202" s="50">
        <v>0</v>
      </c>
      <c r="V202" s="50">
        <v>1</v>
      </c>
      <c r="W202" s="50">
        <v>0</v>
      </c>
      <c r="X202" s="50">
        <v>0.999998</v>
      </c>
      <c r="Y202" s="50">
        <v>0</v>
      </c>
      <c r="Z202" s="50">
        <v>0</v>
      </c>
      <c r="AA202" s="72">
        <v>202</v>
      </c>
      <c r="AB202" s="72"/>
      <c r="AC202" s="73"/>
      <c r="AD202" s="89" t="s">
        <v>1673</v>
      </c>
      <c r="AE202" s="102" t="s">
        <v>1901</v>
      </c>
      <c r="AF202" s="89">
        <v>435</v>
      </c>
      <c r="AG202" s="89">
        <v>367</v>
      </c>
      <c r="AH202" s="89">
        <v>5422</v>
      </c>
      <c r="AI202" s="89">
        <v>29130</v>
      </c>
      <c r="AJ202" s="89"/>
      <c r="AK202" s="89" t="s">
        <v>2130</v>
      </c>
      <c r="AL202" s="89"/>
      <c r="AM202" s="89"/>
      <c r="AN202" s="89"/>
      <c r="AO202" s="92">
        <v>41596.90802083333</v>
      </c>
      <c r="AP202" s="95" t="str">
        <f>HYPERLINK("https://pbs.twimg.com/profile_banners/2202031068/1392932997")</f>
        <v>https://pbs.twimg.com/profile_banners/2202031068/1392932997</v>
      </c>
      <c r="AQ202" s="89" t="b">
        <v>1</v>
      </c>
      <c r="AR202" s="89" t="b">
        <v>0</v>
      </c>
      <c r="AS202" s="89" t="b">
        <v>0</v>
      </c>
      <c r="AT202" s="89"/>
      <c r="AU202" s="89">
        <v>2</v>
      </c>
      <c r="AV202" s="95" t="str">
        <f>HYPERLINK("https://abs.twimg.com/images/themes/theme1/bg.png")</f>
        <v>https://abs.twimg.com/images/themes/theme1/bg.png</v>
      </c>
      <c r="AW202" s="89" t="b">
        <v>0</v>
      </c>
      <c r="AX202" s="89" t="s">
        <v>2300</v>
      </c>
      <c r="AY202" s="95" t="str">
        <f>HYPERLINK("https://twitter.com/tatianadesancti")</f>
        <v>https://twitter.com/tatianadesancti</v>
      </c>
      <c r="AZ202" s="89" t="s">
        <v>66</v>
      </c>
      <c r="BA202" s="89" t="str">
        <f>REPLACE(INDEX(GroupVertices[Group],MATCH(Vertices[[#This Row],[Vertex]],GroupVertices[Vertex],0)),1,1,"")</f>
        <v>23</v>
      </c>
      <c r="BB202" s="49">
        <v>0</v>
      </c>
      <c r="BC202" s="50">
        <v>0</v>
      </c>
      <c r="BD202" s="49">
        <v>0</v>
      </c>
      <c r="BE202" s="50">
        <v>0</v>
      </c>
      <c r="BF202" s="49">
        <v>0</v>
      </c>
      <c r="BG202" s="50">
        <v>0</v>
      </c>
      <c r="BH202" s="49">
        <v>38</v>
      </c>
      <c r="BI202" s="50">
        <v>100</v>
      </c>
      <c r="BJ202" s="49">
        <v>38</v>
      </c>
      <c r="BK202" s="49"/>
      <c r="BL202" s="49"/>
      <c r="BM202" s="49"/>
      <c r="BN202" s="49"/>
      <c r="BO202" s="49"/>
      <c r="BP202" s="49"/>
      <c r="BQ202" s="123" t="s">
        <v>5615</v>
      </c>
      <c r="BR202" s="123" t="s">
        <v>5615</v>
      </c>
      <c r="BS202" s="123" t="s">
        <v>5766</v>
      </c>
      <c r="BT202" s="123" t="s">
        <v>5766</v>
      </c>
      <c r="BU202" s="2"/>
      <c r="BV202" s="3"/>
      <c r="BW202" s="3"/>
      <c r="BX202" s="3"/>
      <c r="BY202" s="3"/>
    </row>
    <row r="203" spans="1:77" ht="15">
      <c r="A203" s="65" t="s">
        <v>471</v>
      </c>
      <c r="B203" s="66"/>
      <c r="C203" s="66" t="s">
        <v>46</v>
      </c>
      <c r="D203" s="67">
        <v>10</v>
      </c>
      <c r="E203" s="69"/>
      <c r="F203" s="111" t="str">
        <f>HYPERLINK("https://pbs.twimg.com/profile_images/1288528041099108357/JgYBDNfu_normal.jpg")</f>
        <v>https://pbs.twimg.com/profile_images/1288528041099108357/JgYBDNfu_normal.jpg</v>
      </c>
      <c r="G203" s="66"/>
      <c r="H203" s="70" t="s">
        <v>471</v>
      </c>
      <c r="I203" s="71" t="s">
        <v>5836</v>
      </c>
      <c r="J203" s="71" t="s">
        <v>75</v>
      </c>
      <c r="K203" s="70" t="s">
        <v>2500</v>
      </c>
      <c r="L203" s="74">
        <v>477.0952380952381</v>
      </c>
      <c r="M203" s="75">
        <v>9679.8828125</v>
      </c>
      <c r="N203" s="75">
        <v>1153.2803955078125</v>
      </c>
      <c r="O203" s="76"/>
      <c r="P203" s="77"/>
      <c r="Q203" s="77"/>
      <c r="R203" s="104"/>
      <c r="S203" s="49">
        <v>1</v>
      </c>
      <c r="T203" s="49">
        <v>0</v>
      </c>
      <c r="U203" s="50">
        <v>0</v>
      </c>
      <c r="V203" s="50">
        <v>1</v>
      </c>
      <c r="W203" s="50">
        <v>0</v>
      </c>
      <c r="X203" s="50">
        <v>0.999998</v>
      </c>
      <c r="Y203" s="50">
        <v>0</v>
      </c>
      <c r="Z203" s="50">
        <v>0</v>
      </c>
      <c r="AA203" s="72">
        <v>203</v>
      </c>
      <c r="AB203" s="72"/>
      <c r="AC203" s="73"/>
      <c r="AD203" s="89" t="s">
        <v>1674</v>
      </c>
      <c r="AE203" s="102" t="s">
        <v>1402</v>
      </c>
      <c r="AF203" s="89">
        <v>545</v>
      </c>
      <c r="AG203" s="89">
        <v>294</v>
      </c>
      <c r="AH203" s="89">
        <v>4941</v>
      </c>
      <c r="AI203" s="89">
        <v>15650</v>
      </c>
      <c r="AJ203" s="89"/>
      <c r="AK203" s="89" t="s">
        <v>2131</v>
      </c>
      <c r="AL203" s="89" t="s">
        <v>2274</v>
      </c>
      <c r="AM203" s="89"/>
      <c r="AN203" s="89"/>
      <c r="AO203" s="92">
        <v>44041.72090277778</v>
      </c>
      <c r="AP203" s="95" t="str">
        <f>HYPERLINK("https://pbs.twimg.com/profile_banners/1288522804338610180/1628358606")</f>
        <v>https://pbs.twimg.com/profile_banners/1288522804338610180/1628358606</v>
      </c>
      <c r="AQ203" s="89" t="b">
        <v>1</v>
      </c>
      <c r="AR203" s="89" t="b">
        <v>0</v>
      </c>
      <c r="AS203" s="89" t="b">
        <v>0</v>
      </c>
      <c r="AT203" s="89"/>
      <c r="AU203" s="89">
        <v>2</v>
      </c>
      <c r="AV203" s="89"/>
      <c r="AW203" s="89" t="b">
        <v>0</v>
      </c>
      <c r="AX203" s="89" t="s">
        <v>2300</v>
      </c>
      <c r="AY203" s="95" t="str">
        <f>HYPERLINK("https://twitter.com/teslailija")</f>
        <v>https://twitter.com/teslailija</v>
      </c>
      <c r="AZ203" s="89" t="s">
        <v>65</v>
      </c>
      <c r="BA203" s="89" t="str">
        <f>REPLACE(INDEX(GroupVertices[Group],MATCH(Vertices[[#This Row],[Vertex]],GroupVertices[Vertex],0)),1,1,"")</f>
        <v>23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5" t="s">
        <v>319</v>
      </c>
      <c r="B204" s="66"/>
      <c r="C204" s="66" t="s">
        <v>46</v>
      </c>
      <c r="D204" s="67"/>
      <c r="E204" s="69"/>
      <c r="F204" s="111" t="str">
        <f>HYPERLINK("https://pbs.twimg.com/profile_images/1168501153279221765/fKTfezDj_normal.jpg")</f>
        <v>https://pbs.twimg.com/profile_images/1168501153279221765/fKTfezDj_normal.jpg</v>
      </c>
      <c r="G204" s="66"/>
      <c r="H204" s="70" t="s">
        <v>319</v>
      </c>
      <c r="I204" s="71" t="s">
        <v>5821</v>
      </c>
      <c r="J204" s="71" t="s">
        <v>73</v>
      </c>
      <c r="K204" s="70" t="s">
        <v>2501</v>
      </c>
      <c r="L204" s="74">
        <v>1</v>
      </c>
      <c r="M204" s="75">
        <v>1878.9949951171875</v>
      </c>
      <c r="N204" s="75">
        <v>2791.255859375</v>
      </c>
      <c r="O204" s="76"/>
      <c r="P204" s="77"/>
      <c r="Q204" s="77"/>
      <c r="R204" s="104"/>
      <c r="S204" s="49">
        <v>0</v>
      </c>
      <c r="T204" s="49">
        <v>3</v>
      </c>
      <c r="U204" s="50">
        <v>0.095238</v>
      </c>
      <c r="V204" s="50">
        <v>0.00089</v>
      </c>
      <c r="W204" s="50">
        <v>0.001362</v>
      </c>
      <c r="X204" s="50">
        <v>0.726222</v>
      </c>
      <c r="Y204" s="50">
        <v>0.3333333333333333</v>
      </c>
      <c r="Z204" s="50">
        <v>0</v>
      </c>
      <c r="AA204" s="72">
        <v>204</v>
      </c>
      <c r="AB204" s="72"/>
      <c r="AC204" s="73"/>
      <c r="AD204" s="89" t="s">
        <v>1675</v>
      </c>
      <c r="AE204" s="102" t="s">
        <v>1902</v>
      </c>
      <c r="AF204" s="89">
        <v>560</v>
      </c>
      <c r="AG204" s="89">
        <v>106</v>
      </c>
      <c r="AH204" s="89">
        <v>7327</v>
      </c>
      <c r="AI204" s="89">
        <v>4549</v>
      </c>
      <c r="AJ204" s="89"/>
      <c r="AK204" s="89" t="s">
        <v>2132</v>
      </c>
      <c r="AL204" s="89" t="s">
        <v>2221</v>
      </c>
      <c r="AM204" s="89"/>
      <c r="AN204" s="89"/>
      <c r="AO204" s="92">
        <v>41417.647627314815</v>
      </c>
      <c r="AP204" s="95" t="str">
        <f>HYPERLINK("https://pbs.twimg.com/profile_banners/1451787098/1587829628")</f>
        <v>https://pbs.twimg.com/profile_banners/1451787098/1587829628</v>
      </c>
      <c r="AQ204" s="89" t="b">
        <v>0</v>
      </c>
      <c r="AR204" s="89" t="b">
        <v>0</v>
      </c>
      <c r="AS204" s="89" t="b">
        <v>0</v>
      </c>
      <c r="AT204" s="89"/>
      <c r="AU204" s="89">
        <v>0</v>
      </c>
      <c r="AV204" s="95" t="str">
        <f>HYPERLINK("https://abs.twimg.com/images/themes/theme1/bg.png")</f>
        <v>https://abs.twimg.com/images/themes/theme1/bg.png</v>
      </c>
      <c r="AW204" s="89" t="b">
        <v>0</v>
      </c>
      <c r="AX204" s="89" t="s">
        <v>2300</v>
      </c>
      <c r="AY204" s="95" t="str">
        <f>HYPERLINK("https://twitter.com/timahmc")</f>
        <v>https://twitter.com/timahmc</v>
      </c>
      <c r="AZ204" s="89" t="s">
        <v>66</v>
      </c>
      <c r="BA204" s="89" t="str">
        <f>REPLACE(INDEX(GroupVertices[Group],MATCH(Vertices[[#This Row],[Vertex]],GroupVertices[Vertex],0)),1,1,"")</f>
        <v>2</v>
      </c>
      <c r="BB204" s="49">
        <v>0</v>
      </c>
      <c r="BC204" s="50">
        <v>0</v>
      </c>
      <c r="BD204" s="49">
        <v>0</v>
      </c>
      <c r="BE204" s="50">
        <v>0</v>
      </c>
      <c r="BF204" s="49">
        <v>0</v>
      </c>
      <c r="BG204" s="50">
        <v>0</v>
      </c>
      <c r="BH204" s="49">
        <v>37</v>
      </c>
      <c r="BI204" s="50">
        <v>100</v>
      </c>
      <c r="BJ204" s="49">
        <v>37</v>
      </c>
      <c r="BK204" s="49"/>
      <c r="BL204" s="49"/>
      <c r="BM204" s="49"/>
      <c r="BN204" s="49"/>
      <c r="BO204" s="49"/>
      <c r="BP204" s="49"/>
      <c r="BQ204" s="123" t="s">
        <v>5608</v>
      </c>
      <c r="BR204" s="123" t="s">
        <v>5608</v>
      </c>
      <c r="BS204" s="123" t="s">
        <v>5759</v>
      </c>
      <c r="BT204" s="123" t="s">
        <v>5759</v>
      </c>
      <c r="BU204" s="2"/>
      <c r="BV204" s="3"/>
      <c r="BW204" s="3"/>
      <c r="BX204" s="3"/>
      <c r="BY204" s="3"/>
    </row>
    <row r="205" spans="1:77" ht="15">
      <c r="A205" s="65" t="s">
        <v>320</v>
      </c>
      <c r="B205" s="66"/>
      <c r="C205" s="66" t="s">
        <v>46</v>
      </c>
      <c r="D205" s="67"/>
      <c r="E205" s="69"/>
      <c r="F205" s="111" t="str">
        <f>HYPERLINK("https://pbs.twimg.com/profile_images/1451134207183437824/rhFmauKk_normal.jpg")</f>
        <v>https://pbs.twimg.com/profile_images/1451134207183437824/rhFmauKk_normal.jpg</v>
      </c>
      <c r="G205" s="66"/>
      <c r="H205" s="70" t="s">
        <v>320</v>
      </c>
      <c r="I205" s="71" t="s">
        <v>5837</v>
      </c>
      <c r="J205" s="71" t="s">
        <v>73</v>
      </c>
      <c r="K205" s="70" t="s">
        <v>2502</v>
      </c>
      <c r="L205" s="74">
        <v>1</v>
      </c>
      <c r="M205" s="75">
        <v>7930.72412109375</v>
      </c>
      <c r="N205" s="75">
        <v>5338.77099609375</v>
      </c>
      <c r="O205" s="76"/>
      <c r="P205" s="77"/>
      <c r="Q205" s="77"/>
      <c r="R205" s="104"/>
      <c r="S205" s="49">
        <v>0</v>
      </c>
      <c r="T205" s="49">
        <v>4</v>
      </c>
      <c r="U205" s="50">
        <v>12</v>
      </c>
      <c r="V205" s="50">
        <v>0.25</v>
      </c>
      <c r="W205" s="50">
        <v>0</v>
      </c>
      <c r="X205" s="50">
        <v>2.378375</v>
      </c>
      <c r="Y205" s="50">
        <v>0</v>
      </c>
      <c r="Z205" s="50">
        <v>0</v>
      </c>
      <c r="AA205" s="72">
        <v>205</v>
      </c>
      <c r="AB205" s="72"/>
      <c r="AC205" s="73"/>
      <c r="AD205" s="89" t="s">
        <v>1676</v>
      </c>
      <c r="AE205" s="102" t="s">
        <v>1903</v>
      </c>
      <c r="AF205" s="89">
        <v>43</v>
      </c>
      <c r="AG205" s="89">
        <v>22</v>
      </c>
      <c r="AH205" s="89">
        <v>1406</v>
      </c>
      <c r="AI205" s="89">
        <v>432</v>
      </c>
      <c r="AJ205" s="89"/>
      <c r="AK205" s="89" t="s">
        <v>2133</v>
      </c>
      <c r="AL205" s="89"/>
      <c r="AM205" s="89"/>
      <c r="AN205" s="89"/>
      <c r="AO205" s="92">
        <v>44490.43693287037</v>
      </c>
      <c r="AP205" s="89"/>
      <c r="AQ205" s="89" t="b">
        <v>1</v>
      </c>
      <c r="AR205" s="89" t="b">
        <v>0</v>
      </c>
      <c r="AS205" s="89" t="b">
        <v>0</v>
      </c>
      <c r="AT205" s="89"/>
      <c r="AU205" s="89">
        <v>0</v>
      </c>
      <c r="AV205" s="89"/>
      <c r="AW205" s="89" t="b">
        <v>0</v>
      </c>
      <c r="AX205" s="89" t="s">
        <v>2300</v>
      </c>
      <c r="AY205" s="95" t="str">
        <f>HYPERLINK("https://twitter.com/kviikari")</f>
        <v>https://twitter.com/kviikari</v>
      </c>
      <c r="AZ205" s="89" t="s">
        <v>66</v>
      </c>
      <c r="BA205" s="89" t="str">
        <f>REPLACE(INDEX(GroupVertices[Group],MATCH(Vertices[[#This Row],[Vertex]],GroupVertices[Vertex],0)),1,1,"")</f>
        <v>11</v>
      </c>
      <c r="BB205" s="49">
        <v>0</v>
      </c>
      <c r="BC205" s="50">
        <v>0</v>
      </c>
      <c r="BD205" s="49">
        <v>0</v>
      </c>
      <c r="BE205" s="50">
        <v>0</v>
      </c>
      <c r="BF205" s="49">
        <v>0</v>
      </c>
      <c r="BG205" s="50">
        <v>0</v>
      </c>
      <c r="BH205" s="49">
        <v>14</v>
      </c>
      <c r="BI205" s="50">
        <v>100</v>
      </c>
      <c r="BJ205" s="49">
        <v>14</v>
      </c>
      <c r="BK205" s="49" t="s">
        <v>5241</v>
      </c>
      <c r="BL205" s="49" t="s">
        <v>5241</v>
      </c>
      <c r="BM205" s="49" t="s">
        <v>702</v>
      </c>
      <c r="BN205" s="49" t="s">
        <v>702</v>
      </c>
      <c r="BO205" s="49"/>
      <c r="BP205" s="49"/>
      <c r="BQ205" s="123" t="s">
        <v>5616</v>
      </c>
      <c r="BR205" s="123" t="s">
        <v>5616</v>
      </c>
      <c r="BS205" s="123" t="s">
        <v>5767</v>
      </c>
      <c r="BT205" s="123" t="s">
        <v>5767</v>
      </c>
      <c r="BU205" s="2"/>
      <c r="BV205" s="3"/>
      <c r="BW205" s="3"/>
      <c r="BX205" s="3"/>
      <c r="BY205" s="3"/>
    </row>
    <row r="206" spans="1:77" ht="15">
      <c r="A206" s="65" t="s">
        <v>472</v>
      </c>
      <c r="B206" s="66"/>
      <c r="C206" s="66" t="s">
        <v>46</v>
      </c>
      <c r="D206" s="67">
        <v>10</v>
      </c>
      <c r="E206" s="69"/>
      <c r="F206" s="111" t="str">
        <f>HYPERLINK("https://pbs.twimg.com/profile_images/1343269230293225474/oLXlwdOE_normal.jpg")</f>
        <v>https://pbs.twimg.com/profile_images/1343269230293225474/oLXlwdOE_normal.jpg</v>
      </c>
      <c r="G206" s="66"/>
      <c r="H206" s="70" t="s">
        <v>472</v>
      </c>
      <c r="I206" s="71" t="s">
        <v>5837</v>
      </c>
      <c r="J206" s="71" t="s">
        <v>75</v>
      </c>
      <c r="K206" s="70" t="s">
        <v>2503</v>
      </c>
      <c r="L206" s="74">
        <v>477.0952380952381</v>
      </c>
      <c r="M206" s="75">
        <v>7525.8388671875</v>
      </c>
      <c r="N206" s="75">
        <v>5764.32861328125</v>
      </c>
      <c r="O206" s="76"/>
      <c r="P206" s="77"/>
      <c r="Q206" s="77"/>
      <c r="R206" s="104"/>
      <c r="S206" s="49">
        <v>1</v>
      </c>
      <c r="T206" s="49">
        <v>0</v>
      </c>
      <c r="U206" s="50">
        <v>0</v>
      </c>
      <c r="V206" s="50">
        <v>0.142857</v>
      </c>
      <c r="W206" s="50">
        <v>0</v>
      </c>
      <c r="X206" s="50">
        <v>0.655404</v>
      </c>
      <c r="Y206" s="50">
        <v>0</v>
      </c>
      <c r="Z206" s="50">
        <v>0</v>
      </c>
      <c r="AA206" s="72">
        <v>206</v>
      </c>
      <c r="AB206" s="72"/>
      <c r="AC206" s="73"/>
      <c r="AD206" s="89" t="s">
        <v>1677</v>
      </c>
      <c r="AE206" s="102" t="s">
        <v>1904</v>
      </c>
      <c r="AF206" s="89">
        <v>51</v>
      </c>
      <c r="AG206" s="89">
        <v>188029</v>
      </c>
      <c r="AH206" s="89">
        <v>716</v>
      </c>
      <c r="AI206" s="89">
        <v>499</v>
      </c>
      <c r="AJ206" s="89"/>
      <c r="AK206" s="89" t="s">
        <v>2134</v>
      </c>
      <c r="AL206" s="89" t="s">
        <v>2275</v>
      </c>
      <c r="AM206" s="95" t="str">
        <f>HYPERLINK("https://t.co/rabllJJlom")</f>
        <v>https://t.co/rabllJJlom</v>
      </c>
      <c r="AN206" s="89"/>
      <c r="AO206" s="92">
        <v>41576.98097222222</v>
      </c>
      <c r="AP206" s="95" t="str">
        <f>HYPERLINK("https://pbs.twimg.com/profile_banners/2163723997/1630855702")</f>
        <v>https://pbs.twimg.com/profile_banners/2163723997/1630855702</v>
      </c>
      <c r="AQ206" s="89" t="b">
        <v>1</v>
      </c>
      <c r="AR206" s="89" t="b">
        <v>0</v>
      </c>
      <c r="AS206" s="89" t="b">
        <v>1</v>
      </c>
      <c r="AT206" s="89"/>
      <c r="AU206" s="89">
        <v>966</v>
      </c>
      <c r="AV206" s="95" t="str">
        <f>HYPERLINK("https://abs.twimg.com/images/themes/theme1/bg.png")</f>
        <v>https://abs.twimg.com/images/themes/theme1/bg.png</v>
      </c>
      <c r="AW206" s="89" t="b">
        <v>0</v>
      </c>
      <c r="AX206" s="89" t="s">
        <v>2300</v>
      </c>
      <c r="AY206" s="95" t="str">
        <f>HYPERLINK("https://twitter.com/pierrekory")</f>
        <v>https://twitter.com/pierrekory</v>
      </c>
      <c r="AZ206" s="89" t="s">
        <v>65</v>
      </c>
      <c r="BA206" s="89" t="str">
        <f>REPLACE(INDEX(GroupVertices[Group],MATCH(Vertices[[#This Row],[Vertex]],GroupVertices[Vertex],0)),1,1,"")</f>
        <v>11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473</v>
      </c>
      <c r="B207" s="66"/>
      <c r="C207" s="66" t="s">
        <v>46</v>
      </c>
      <c r="D207" s="67">
        <v>10</v>
      </c>
      <c r="E207" s="69"/>
      <c r="F207" s="111" t="str">
        <f>HYPERLINK("https://pbs.twimg.com/profile_images/673091567700172800/bGSbS_rL_normal.jpg")</f>
        <v>https://pbs.twimg.com/profile_images/673091567700172800/bGSbS_rL_normal.jpg</v>
      </c>
      <c r="G207" s="66"/>
      <c r="H207" s="70" t="s">
        <v>473</v>
      </c>
      <c r="I207" s="71" t="s">
        <v>5837</v>
      </c>
      <c r="J207" s="71" t="s">
        <v>75</v>
      </c>
      <c r="K207" s="70" t="s">
        <v>2504</v>
      </c>
      <c r="L207" s="74">
        <v>477.0952380952381</v>
      </c>
      <c r="M207" s="75">
        <v>7700.2607421875</v>
      </c>
      <c r="N207" s="75">
        <v>4589.70751953125</v>
      </c>
      <c r="O207" s="76"/>
      <c r="P207" s="77"/>
      <c r="Q207" s="77"/>
      <c r="R207" s="104"/>
      <c r="S207" s="49">
        <v>1</v>
      </c>
      <c r="T207" s="49">
        <v>0</v>
      </c>
      <c r="U207" s="50">
        <v>0</v>
      </c>
      <c r="V207" s="50">
        <v>0.142857</v>
      </c>
      <c r="W207" s="50">
        <v>0</v>
      </c>
      <c r="X207" s="50">
        <v>0.655404</v>
      </c>
      <c r="Y207" s="50">
        <v>0</v>
      </c>
      <c r="Z207" s="50">
        <v>0</v>
      </c>
      <c r="AA207" s="72">
        <v>207</v>
      </c>
      <c r="AB207" s="72"/>
      <c r="AC207" s="73"/>
      <c r="AD207" s="89" t="s">
        <v>1678</v>
      </c>
      <c r="AE207" s="102" t="s">
        <v>1905</v>
      </c>
      <c r="AF207" s="89">
        <v>318</v>
      </c>
      <c r="AG207" s="89">
        <v>4111</v>
      </c>
      <c r="AH207" s="89">
        <v>8567</v>
      </c>
      <c r="AI207" s="89">
        <v>5938</v>
      </c>
      <c r="AJ207" s="89"/>
      <c r="AK207" s="89" t="s">
        <v>2135</v>
      </c>
      <c r="AL207" s="89" t="s">
        <v>2218</v>
      </c>
      <c r="AM207" s="95" t="str">
        <f>HYPERLINK("https://t.co/C26ZHSFCN6")</f>
        <v>https://t.co/C26ZHSFCN6</v>
      </c>
      <c r="AN207" s="89"/>
      <c r="AO207" s="92">
        <v>41088.676203703704</v>
      </c>
      <c r="AP207" s="95" t="str">
        <f>HYPERLINK("https://pbs.twimg.com/profile_banners/621109658/1398551950")</f>
        <v>https://pbs.twimg.com/profile_banners/621109658/1398551950</v>
      </c>
      <c r="AQ207" s="89" t="b">
        <v>1</v>
      </c>
      <c r="AR207" s="89" t="b">
        <v>0</v>
      </c>
      <c r="AS207" s="89" t="b">
        <v>0</v>
      </c>
      <c r="AT207" s="89"/>
      <c r="AU207" s="89">
        <v>84</v>
      </c>
      <c r="AV207" s="95" t="str">
        <f>HYPERLINK("https://abs.twimg.com/images/themes/theme1/bg.png")</f>
        <v>https://abs.twimg.com/images/themes/theme1/bg.png</v>
      </c>
      <c r="AW207" s="89" t="b">
        <v>0</v>
      </c>
      <c r="AX207" s="89" t="s">
        <v>2300</v>
      </c>
      <c r="AY207" s="95" t="str">
        <f>HYPERLINK("https://twitter.com/mkorja")</f>
        <v>https://twitter.com/mkorja</v>
      </c>
      <c r="AZ207" s="89" t="s">
        <v>65</v>
      </c>
      <c r="BA207" s="89" t="str">
        <f>REPLACE(INDEX(GroupVertices[Group],MATCH(Vertices[[#This Row],[Vertex]],GroupVertices[Vertex],0)),1,1,"")</f>
        <v>11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5" t="s">
        <v>474</v>
      </c>
      <c r="B208" s="66"/>
      <c r="C208" s="66" t="s">
        <v>46</v>
      </c>
      <c r="D208" s="67">
        <v>10</v>
      </c>
      <c r="E208" s="69"/>
      <c r="F208" s="111" t="str">
        <f>HYPERLINK("https://pbs.twimg.com/profile_images/1243555978349613057/eaStkfV7_normal.jpg")</f>
        <v>https://pbs.twimg.com/profile_images/1243555978349613057/eaStkfV7_normal.jpg</v>
      </c>
      <c r="G208" s="66"/>
      <c r="H208" s="70" t="s">
        <v>474</v>
      </c>
      <c r="I208" s="71" t="s">
        <v>5837</v>
      </c>
      <c r="J208" s="71" t="s">
        <v>75</v>
      </c>
      <c r="K208" s="70" t="s">
        <v>2505</v>
      </c>
      <c r="L208" s="74">
        <v>477.0952380952381</v>
      </c>
      <c r="M208" s="75">
        <v>8162.119140625</v>
      </c>
      <c r="N208" s="75">
        <v>6088.38720703125</v>
      </c>
      <c r="O208" s="76"/>
      <c r="P208" s="77"/>
      <c r="Q208" s="77"/>
      <c r="R208" s="104"/>
      <c r="S208" s="49">
        <v>1</v>
      </c>
      <c r="T208" s="49">
        <v>0</v>
      </c>
      <c r="U208" s="50">
        <v>0</v>
      </c>
      <c r="V208" s="50">
        <v>0.142857</v>
      </c>
      <c r="W208" s="50">
        <v>0</v>
      </c>
      <c r="X208" s="50">
        <v>0.655404</v>
      </c>
      <c r="Y208" s="50">
        <v>0</v>
      </c>
      <c r="Z208" s="50">
        <v>0</v>
      </c>
      <c r="AA208" s="72">
        <v>208</v>
      </c>
      <c r="AB208" s="72"/>
      <c r="AC208" s="73"/>
      <c r="AD208" s="89" t="s">
        <v>1679</v>
      </c>
      <c r="AE208" s="102" t="s">
        <v>1906</v>
      </c>
      <c r="AF208" s="89">
        <v>640</v>
      </c>
      <c r="AG208" s="89">
        <v>1193</v>
      </c>
      <c r="AH208" s="89">
        <v>2441</v>
      </c>
      <c r="AI208" s="89">
        <v>23050</v>
      </c>
      <c r="AJ208" s="89"/>
      <c r="AK208" s="89" t="s">
        <v>2136</v>
      </c>
      <c r="AL208" s="89" t="s">
        <v>2276</v>
      </c>
      <c r="AM208" s="89"/>
      <c r="AN208" s="89"/>
      <c r="AO208" s="92">
        <v>43917.631689814814</v>
      </c>
      <c r="AP208" s="95" t="str">
        <f>HYPERLINK("https://pbs.twimg.com/profile_banners/1243555670370193417/1617491021")</f>
        <v>https://pbs.twimg.com/profile_banners/1243555670370193417/1617491021</v>
      </c>
      <c r="AQ208" s="89" t="b">
        <v>1</v>
      </c>
      <c r="AR208" s="89" t="b">
        <v>0</v>
      </c>
      <c r="AS208" s="89" t="b">
        <v>0</v>
      </c>
      <c r="AT208" s="89"/>
      <c r="AU208" s="89">
        <v>2</v>
      </c>
      <c r="AV208" s="89"/>
      <c r="AW208" s="89" t="b">
        <v>0</v>
      </c>
      <c r="AX208" s="89" t="s">
        <v>2300</v>
      </c>
      <c r="AY208" s="95" t="str">
        <f>HYPERLINK("https://twitter.com/lotta_hallstrom")</f>
        <v>https://twitter.com/lotta_hallstrom</v>
      </c>
      <c r="AZ208" s="89" t="s">
        <v>65</v>
      </c>
      <c r="BA208" s="89" t="str">
        <f>REPLACE(INDEX(GroupVertices[Group],MATCH(Vertices[[#This Row],[Vertex]],GroupVertices[Vertex],0)),1,1,"")</f>
        <v>11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5" t="s">
        <v>475</v>
      </c>
      <c r="B209" s="66"/>
      <c r="C209" s="66" t="s">
        <v>46</v>
      </c>
      <c r="D209" s="67">
        <v>10</v>
      </c>
      <c r="E209" s="69"/>
      <c r="F209" s="111" t="str">
        <f>HYPERLINK("https://pbs.twimg.com/profile_images/1305877384449724416/Lej5mO3Y_normal.jpg")</f>
        <v>https://pbs.twimg.com/profile_images/1305877384449724416/Lej5mO3Y_normal.jpg</v>
      </c>
      <c r="G209" s="66"/>
      <c r="H209" s="70" t="s">
        <v>475</v>
      </c>
      <c r="I209" s="71" t="s">
        <v>5837</v>
      </c>
      <c r="J209" s="71" t="s">
        <v>75</v>
      </c>
      <c r="K209" s="70" t="s">
        <v>2506</v>
      </c>
      <c r="L209" s="74">
        <v>477.0952380952381</v>
      </c>
      <c r="M209" s="75">
        <v>8336.927734375</v>
      </c>
      <c r="N209" s="75">
        <v>4912.771484375</v>
      </c>
      <c r="O209" s="76"/>
      <c r="P209" s="77"/>
      <c r="Q209" s="77"/>
      <c r="R209" s="104"/>
      <c r="S209" s="49">
        <v>1</v>
      </c>
      <c r="T209" s="49">
        <v>0</v>
      </c>
      <c r="U209" s="50">
        <v>0</v>
      </c>
      <c r="V209" s="50">
        <v>0.142857</v>
      </c>
      <c r="W209" s="50">
        <v>0</v>
      </c>
      <c r="X209" s="50">
        <v>0.655404</v>
      </c>
      <c r="Y209" s="50">
        <v>0</v>
      </c>
      <c r="Z209" s="50">
        <v>0</v>
      </c>
      <c r="AA209" s="72">
        <v>209</v>
      </c>
      <c r="AB209" s="72"/>
      <c r="AC209" s="73"/>
      <c r="AD209" s="89" t="s">
        <v>1680</v>
      </c>
      <c r="AE209" s="102" t="s">
        <v>1403</v>
      </c>
      <c r="AF209" s="89">
        <v>1967</v>
      </c>
      <c r="AG209" s="89">
        <v>1489</v>
      </c>
      <c r="AH209" s="89">
        <v>15133</v>
      </c>
      <c r="AI209" s="89">
        <v>26344</v>
      </c>
      <c r="AJ209" s="89"/>
      <c r="AK209" s="89" t="s">
        <v>2137</v>
      </c>
      <c r="AL209" s="89" t="s">
        <v>2231</v>
      </c>
      <c r="AM209" s="95" t="str">
        <f>HYPERLINK("https://t.co/qkCCX4ZpX4")</f>
        <v>https://t.co/qkCCX4ZpX4</v>
      </c>
      <c r="AN209" s="89"/>
      <c r="AO209" s="92">
        <v>40526.84584490741</v>
      </c>
      <c r="AP209" s="95" t="str">
        <f>HYPERLINK("https://pbs.twimg.com/profile_banners/226684702/1431195290")</f>
        <v>https://pbs.twimg.com/profile_banners/226684702/1431195290</v>
      </c>
      <c r="AQ209" s="89" t="b">
        <v>1</v>
      </c>
      <c r="AR209" s="89" t="b">
        <v>0</v>
      </c>
      <c r="AS209" s="89" t="b">
        <v>1</v>
      </c>
      <c r="AT209" s="89"/>
      <c r="AU209" s="89">
        <v>62</v>
      </c>
      <c r="AV209" s="95" t="str">
        <f>HYPERLINK("https://abs.twimg.com/images/themes/theme1/bg.png")</f>
        <v>https://abs.twimg.com/images/themes/theme1/bg.png</v>
      </c>
      <c r="AW209" s="89" t="b">
        <v>0</v>
      </c>
      <c r="AX209" s="89" t="s">
        <v>2300</v>
      </c>
      <c r="AY209" s="95" t="str">
        <f>HYPERLINK("https://twitter.com/pbockerman")</f>
        <v>https://twitter.com/pbockerman</v>
      </c>
      <c r="AZ209" s="89" t="s">
        <v>65</v>
      </c>
      <c r="BA209" s="89" t="str">
        <f>REPLACE(INDEX(GroupVertices[Group],MATCH(Vertices[[#This Row],[Vertex]],GroupVertices[Vertex],0)),1,1,"")</f>
        <v>11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321</v>
      </c>
      <c r="B210" s="66"/>
      <c r="C210" s="66" t="s">
        <v>46</v>
      </c>
      <c r="D210" s="67"/>
      <c r="E210" s="69"/>
      <c r="F210" s="111" t="str">
        <f>HYPERLINK("https://pbs.twimg.com/profile_images/553909318873915393/6Ip_pVV5_normal.png")</f>
        <v>https://pbs.twimg.com/profile_images/553909318873915393/6Ip_pVV5_normal.png</v>
      </c>
      <c r="G210" s="66"/>
      <c r="H210" s="70" t="s">
        <v>321</v>
      </c>
      <c r="I210" s="71" t="s">
        <v>5821</v>
      </c>
      <c r="J210" s="71" t="s">
        <v>73</v>
      </c>
      <c r="K210" s="70" t="s">
        <v>2507</v>
      </c>
      <c r="L210" s="74">
        <v>1</v>
      </c>
      <c r="M210" s="75">
        <v>2253.894287109375</v>
      </c>
      <c r="N210" s="75">
        <v>2490.462890625</v>
      </c>
      <c r="O210" s="76"/>
      <c r="P210" s="77"/>
      <c r="Q210" s="77"/>
      <c r="R210" s="104"/>
      <c r="S210" s="49">
        <v>0</v>
      </c>
      <c r="T210" s="49">
        <v>3</v>
      </c>
      <c r="U210" s="50">
        <v>488.095238</v>
      </c>
      <c r="V210" s="50">
        <v>0.00089</v>
      </c>
      <c r="W210" s="50">
        <v>0.001022</v>
      </c>
      <c r="X210" s="50">
        <v>0.876962</v>
      </c>
      <c r="Y210" s="50">
        <v>0</v>
      </c>
      <c r="Z210" s="50">
        <v>0</v>
      </c>
      <c r="AA210" s="72">
        <v>210</v>
      </c>
      <c r="AB210" s="72"/>
      <c r="AC210" s="73"/>
      <c r="AD210" s="89" t="s">
        <v>1681</v>
      </c>
      <c r="AE210" s="102" t="s">
        <v>1907</v>
      </c>
      <c r="AF210" s="89">
        <v>891</v>
      </c>
      <c r="AG210" s="89">
        <v>1602</v>
      </c>
      <c r="AH210" s="89">
        <v>91269</v>
      </c>
      <c r="AI210" s="89">
        <v>19833</v>
      </c>
      <c r="AJ210" s="89"/>
      <c r="AK210" s="89" t="s">
        <v>2138</v>
      </c>
      <c r="AL210" s="89" t="s">
        <v>2277</v>
      </c>
      <c r="AM210" s="89"/>
      <c r="AN210" s="89"/>
      <c r="AO210" s="92">
        <v>40642.41027777778</v>
      </c>
      <c r="AP210" s="95" t="str">
        <f>HYPERLINK("https://pbs.twimg.com/profile_banners/279468522/1596817163")</f>
        <v>https://pbs.twimg.com/profile_banners/279468522/1596817163</v>
      </c>
      <c r="AQ210" s="89" t="b">
        <v>1</v>
      </c>
      <c r="AR210" s="89" t="b">
        <v>0</v>
      </c>
      <c r="AS210" s="89" t="b">
        <v>0</v>
      </c>
      <c r="AT210" s="89"/>
      <c r="AU210" s="89">
        <v>45</v>
      </c>
      <c r="AV210" s="95" t="str">
        <f>HYPERLINK("https://abs.twimg.com/images/themes/theme1/bg.png")</f>
        <v>https://abs.twimg.com/images/themes/theme1/bg.png</v>
      </c>
      <c r="AW210" s="89" t="b">
        <v>0</v>
      </c>
      <c r="AX210" s="89" t="s">
        <v>2300</v>
      </c>
      <c r="AY210" s="95" t="str">
        <f>HYPERLINK("https://twitter.com/eliasaarnio")</f>
        <v>https://twitter.com/eliasaarnio</v>
      </c>
      <c r="AZ210" s="89" t="s">
        <v>66</v>
      </c>
      <c r="BA210" s="89" t="str">
        <f>REPLACE(INDEX(GroupVertices[Group],MATCH(Vertices[[#This Row],[Vertex]],GroupVertices[Vertex],0)),1,1,"")</f>
        <v>2</v>
      </c>
      <c r="BB210" s="49">
        <v>0</v>
      </c>
      <c r="BC210" s="50">
        <v>0</v>
      </c>
      <c r="BD210" s="49">
        <v>0</v>
      </c>
      <c r="BE210" s="50">
        <v>0</v>
      </c>
      <c r="BF210" s="49">
        <v>0</v>
      </c>
      <c r="BG210" s="50">
        <v>0</v>
      </c>
      <c r="BH210" s="49">
        <v>33</v>
      </c>
      <c r="BI210" s="50">
        <v>100</v>
      </c>
      <c r="BJ210" s="49">
        <v>33</v>
      </c>
      <c r="BK210" s="49"/>
      <c r="BL210" s="49"/>
      <c r="BM210" s="49"/>
      <c r="BN210" s="49"/>
      <c r="BO210" s="49" t="s">
        <v>714</v>
      </c>
      <c r="BP210" s="49" t="s">
        <v>714</v>
      </c>
      <c r="BQ210" s="123" t="s">
        <v>5617</v>
      </c>
      <c r="BR210" s="123" t="s">
        <v>5617</v>
      </c>
      <c r="BS210" s="123" t="s">
        <v>5768</v>
      </c>
      <c r="BT210" s="123" t="s">
        <v>5768</v>
      </c>
      <c r="BU210" s="2"/>
      <c r="BV210" s="3"/>
      <c r="BW210" s="3"/>
      <c r="BX210" s="3"/>
      <c r="BY210" s="3"/>
    </row>
    <row r="211" spans="1:77" ht="15">
      <c r="A211" s="65" t="s">
        <v>476</v>
      </c>
      <c r="B211" s="66"/>
      <c r="C211" s="66" t="s">
        <v>46</v>
      </c>
      <c r="D211" s="67">
        <v>10</v>
      </c>
      <c r="E211" s="69"/>
      <c r="F211" s="111" t="str">
        <f>HYPERLINK("https://pbs.twimg.com/profile_images/1455633161010954240/eRN2qjHL_normal.jpg")</f>
        <v>https://pbs.twimg.com/profile_images/1455633161010954240/eRN2qjHL_normal.jpg</v>
      </c>
      <c r="G211" s="66"/>
      <c r="H211" s="70" t="s">
        <v>476</v>
      </c>
      <c r="I211" s="71" t="s">
        <v>5821</v>
      </c>
      <c r="J211" s="71" t="s">
        <v>75</v>
      </c>
      <c r="K211" s="70" t="s">
        <v>2508</v>
      </c>
      <c r="L211" s="74">
        <v>477.0952380952381</v>
      </c>
      <c r="M211" s="75">
        <v>2818.86669921875</v>
      </c>
      <c r="N211" s="75">
        <v>2512.763427734375</v>
      </c>
      <c r="O211" s="76"/>
      <c r="P211" s="77"/>
      <c r="Q211" s="77"/>
      <c r="R211" s="104"/>
      <c r="S211" s="49">
        <v>1</v>
      </c>
      <c r="T211" s="49">
        <v>0</v>
      </c>
      <c r="U211" s="50">
        <v>0</v>
      </c>
      <c r="V211" s="50">
        <v>0.000732</v>
      </c>
      <c r="W211" s="50">
        <v>0.000119</v>
      </c>
      <c r="X211" s="50">
        <v>0.398473</v>
      </c>
      <c r="Y211" s="50">
        <v>0</v>
      </c>
      <c r="Z211" s="50">
        <v>0</v>
      </c>
      <c r="AA211" s="72">
        <v>211</v>
      </c>
      <c r="AB211" s="72"/>
      <c r="AC211" s="73"/>
      <c r="AD211" s="89" t="s">
        <v>1682</v>
      </c>
      <c r="AE211" s="102" t="s">
        <v>1908</v>
      </c>
      <c r="AF211" s="89">
        <v>120</v>
      </c>
      <c r="AG211" s="89">
        <v>18</v>
      </c>
      <c r="AH211" s="89">
        <v>368</v>
      </c>
      <c r="AI211" s="89">
        <v>2232</v>
      </c>
      <c r="AJ211" s="89"/>
      <c r="AK211" s="89"/>
      <c r="AL211" s="89"/>
      <c r="AM211" s="95" t="str">
        <f>HYPERLINK("http://t.co/8o1vnPUU7n")</f>
        <v>http://t.co/8o1vnPUU7n</v>
      </c>
      <c r="AN211" s="89"/>
      <c r="AO211" s="92">
        <v>41326.76702546296</v>
      </c>
      <c r="AP211" s="89"/>
      <c r="AQ211" s="89" t="b">
        <v>1</v>
      </c>
      <c r="AR211" s="89" t="b">
        <v>0</v>
      </c>
      <c r="AS211" s="89" t="b">
        <v>0</v>
      </c>
      <c r="AT211" s="89"/>
      <c r="AU211" s="89">
        <v>3</v>
      </c>
      <c r="AV211" s="95" t="str">
        <f>HYPERLINK("https://abs.twimg.com/images/themes/theme1/bg.png")</f>
        <v>https://abs.twimg.com/images/themes/theme1/bg.png</v>
      </c>
      <c r="AW211" s="89" t="b">
        <v>0</v>
      </c>
      <c r="AX211" s="89" t="s">
        <v>2300</v>
      </c>
      <c r="AY211" s="95" t="str">
        <f>HYPERLINK("https://twitter.com/jounipeltoniemi")</f>
        <v>https://twitter.com/jounipeltoniemi</v>
      </c>
      <c r="AZ211" s="89" t="s">
        <v>65</v>
      </c>
      <c r="BA211" s="89" t="str">
        <f>REPLACE(INDEX(GroupVertices[Group],MATCH(Vertices[[#This Row],[Vertex]],GroupVertices[Vertex],0)),1,1,"")</f>
        <v>2</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5" t="s">
        <v>322</v>
      </c>
      <c r="B212" s="66"/>
      <c r="C212" s="66" t="s">
        <v>46</v>
      </c>
      <c r="D212" s="67"/>
      <c r="E212" s="69"/>
      <c r="F212" s="111" t="str">
        <f>HYPERLINK("https://pbs.twimg.com/profile_images/1289129660203388928/uZ3S7sWF_normal.jpg")</f>
        <v>https://pbs.twimg.com/profile_images/1289129660203388928/uZ3S7sWF_normal.jpg</v>
      </c>
      <c r="G212" s="66"/>
      <c r="H212" s="70" t="s">
        <v>322</v>
      </c>
      <c r="I212" s="71" t="s">
        <v>5821</v>
      </c>
      <c r="J212" s="71" t="s">
        <v>73</v>
      </c>
      <c r="K212" s="70" t="s">
        <v>2509</v>
      </c>
      <c r="L212" s="74">
        <v>1</v>
      </c>
      <c r="M212" s="75">
        <v>1762.8045654296875</v>
      </c>
      <c r="N212" s="75">
        <v>1303.058837890625</v>
      </c>
      <c r="O212" s="76"/>
      <c r="P212" s="77"/>
      <c r="Q212" s="77"/>
      <c r="R212" s="104"/>
      <c r="S212" s="49">
        <v>0</v>
      </c>
      <c r="T212" s="49">
        <v>3</v>
      </c>
      <c r="U212" s="50">
        <v>488.095238</v>
      </c>
      <c r="V212" s="50">
        <v>0.00089</v>
      </c>
      <c r="W212" s="50">
        <v>0.001022</v>
      </c>
      <c r="X212" s="50">
        <v>0.876962</v>
      </c>
      <c r="Y212" s="50">
        <v>0</v>
      </c>
      <c r="Z212" s="50">
        <v>0</v>
      </c>
      <c r="AA212" s="72">
        <v>212</v>
      </c>
      <c r="AB212" s="72"/>
      <c r="AC212" s="73"/>
      <c r="AD212" s="89" t="s">
        <v>1683</v>
      </c>
      <c r="AE212" s="102" t="s">
        <v>1909</v>
      </c>
      <c r="AF212" s="89">
        <v>895</v>
      </c>
      <c r="AG212" s="89">
        <v>184</v>
      </c>
      <c r="AH212" s="89">
        <v>6108</v>
      </c>
      <c r="AI212" s="89">
        <v>31903</v>
      </c>
      <c r="AJ212" s="89"/>
      <c r="AK212" s="89" t="s">
        <v>2139</v>
      </c>
      <c r="AL212" s="89" t="s">
        <v>2229</v>
      </c>
      <c r="AM212" s="89"/>
      <c r="AN212" s="89"/>
      <c r="AO212" s="92">
        <v>42757.48180555556</v>
      </c>
      <c r="AP212" s="95" t="str">
        <f>HYPERLINK("https://pbs.twimg.com/profile_banners/823131547779874817/1485085338")</f>
        <v>https://pbs.twimg.com/profile_banners/823131547779874817/1485085338</v>
      </c>
      <c r="AQ212" s="89" t="b">
        <v>1</v>
      </c>
      <c r="AR212" s="89" t="b">
        <v>0</v>
      </c>
      <c r="AS212" s="89" t="b">
        <v>0</v>
      </c>
      <c r="AT212" s="89"/>
      <c r="AU212" s="89">
        <v>0</v>
      </c>
      <c r="AV212" s="89"/>
      <c r="AW212" s="89" t="b">
        <v>0</v>
      </c>
      <c r="AX212" s="89" t="s">
        <v>2300</v>
      </c>
      <c r="AY212" s="95" t="str">
        <f>HYPERLINK("https://twitter.com/jvnevalainen")</f>
        <v>https://twitter.com/jvnevalainen</v>
      </c>
      <c r="AZ212" s="89" t="s">
        <v>66</v>
      </c>
      <c r="BA212" s="89" t="str">
        <f>REPLACE(INDEX(GroupVertices[Group],MATCH(Vertices[[#This Row],[Vertex]],GroupVertices[Vertex],0)),1,1,"")</f>
        <v>2</v>
      </c>
      <c r="BB212" s="49">
        <v>0</v>
      </c>
      <c r="BC212" s="50">
        <v>0</v>
      </c>
      <c r="BD212" s="49">
        <v>0</v>
      </c>
      <c r="BE212" s="50">
        <v>0</v>
      </c>
      <c r="BF212" s="49">
        <v>0</v>
      </c>
      <c r="BG212" s="50">
        <v>0</v>
      </c>
      <c r="BH212" s="49">
        <v>21</v>
      </c>
      <c r="BI212" s="50">
        <v>100</v>
      </c>
      <c r="BJ212" s="49">
        <v>21</v>
      </c>
      <c r="BK212" s="49" t="s">
        <v>5207</v>
      </c>
      <c r="BL212" s="49" t="s">
        <v>5207</v>
      </c>
      <c r="BM212" s="49" t="s">
        <v>703</v>
      </c>
      <c r="BN212" s="49" t="s">
        <v>703</v>
      </c>
      <c r="BO212" s="49"/>
      <c r="BP212" s="49"/>
      <c r="BQ212" s="123" t="s">
        <v>5618</v>
      </c>
      <c r="BR212" s="123" t="s">
        <v>5618</v>
      </c>
      <c r="BS212" s="123" t="s">
        <v>5769</v>
      </c>
      <c r="BT212" s="123" t="s">
        <v>5769</v>
      </c>
      <c r="BU212" s="2"/>
      <c r="BV212" s="3"/>
      <c r="BW212" s="3"/>
      <c r="BX212" s="3"/>
      <c r="BY212" s="3"/>
    </row>
    <row r="213" spans="1:77" ht="15">
      <c r="A213" s="65" t="s">
        <v>477</v>
      </c>
      <c r="B213" s="66"/>
      <c r="C213" s="66" t="s">
        <v>46</v>
      </c>
      <c r="D213" s="67">
        <v>10</v>
      </c>
      <c r="E213" s="69"/>
      <c r="F213" s="111" t="str">
        <f>HYPERLINK("https://pbs.twimg.com/profile_images/1434529064669401088/KgWtbxDF_normal.jpg")</f>
        <v>https://pbs.twimg.com/profile_images/1434529064669401088/KgWtbxDF_normal.jpg</v>
      </c>
      <c r="G213" s="66"/>
      <c r="H213" s="70" t="s">
        <v>477</v>
      </c>
      <c r="I213" s="71" t="s">
        <v>5821</v>
      </c>
      <c r="J213" s="71" t="s">
        <v>75</v>
      </c>
      <c r="K213" s="70" t="s">
        <v>2510</v>
      </c>
      <c r="L213" s="74">
        <v>477.0952380952381</v>
      </c>
      <c r="M213" s="75">
        <v>1952.67236328125</v>
      </c>
      <c r="N213" s="75">
        <v>234.17076110839844</v>
      </c>
      <c r="O213" s="76"/>
      <c r="P213" s="77"/>
      <c r="Q213" s="77"/>
      <c r="R213" s="104"/>
      <c r="S213" s="49">
        <v>1</v>
      </c>
      <c r="T213" s="49">
        <v>0</v>
      </c>
      <c r="U213" s="50">
        <v>0</v>
      </c>
      <c r="V213" s="50">
        <v>0.000732</v>
      </c>
      <c r="W213" s="50">
        <v>0.000119</v>
      </c>
      <c r="X213" s="50">
        <v>0.398473</v>
      </c>
      <c r="Y213" s="50">
        <v>0</v>
      </c>
      <c r="Z213" s="50">
        <v>0</v>
      </c>
      <c r="AA213" s="72">
        <v>213</v>
      </c>
      <c r="AB213" s="72"/>
      <c r="AC213" s="73"/>
      <c r="AD213" s="89" t="s">
        <v>1684</v>
      </c>
      <c r="AE213" s="102" t="s">
        <v>1404</v>
      </c>
      <c r="AF213" s="89">
        <v>1894</v>
      </c>
      <c r="AG213" s="89">
        <v>2940</v>
      </c>
      <c r="AH213" s="89">
        <v>29035</v>
      </c>
      <c r="AI213" s="89">
        <v>23119</v>
      </c>
      <c r="AJ213" s="89"/>
      <c r="AK213" s="89" t="s">
        <v>2140</v>
      </c>
      <c r="AL213" s="89" t="s">
        <v>2278</v>
      </c>
      <c r="AM213" s="95" t="str">
        <f>HYPERLINK("https://t.co/teasnWXZyi")</f>
        <v>https://t.co/teasnWXZyi</v>
      </c>
      <c r="AN213" s="89"/>
      <c r="AO213" s="92">
        <v>39954.72539351852</v>
      </c>
      <c r="AP213" s="95" t="str">
        <f>HYPERLINK("https://pbs.twimg.com/profile_banners/41630922/1638021081")</f>
        <v>https://pbs.twimg.com/profile_banners/41630922/1638021081</v>
      </c>
      <c r="AQ213" s="89" t="b">
        <v>0</v>
      </c>
      <c r="AR213" s="89" t="b">
        <v>0</v>
      </c>
      <c r="AS213" s="89" t="b">
        <v>1</v>
      </c>
      <c r="AT213" s="89"/>
      <c r="AU213" s="89">
        <v>38</v>
      </c>
      <c r="AV213" s="95" t="str">
        <f>HYPERLINK("https://abs.twimg.com/images/themes/theme9/bg.gif")</f>
        <v>https://abs.twimg.com/images/themes/theme9/bg.gif</v>
      </c>
      <c r="AW213" s="89" t="b">
        <v>0</v>
      </c>
      <c r="AX213" s="89" t="s">
        <v>2300</v>
      </c>
      <c r="AY213" s="95" t="str">
        <f>HYPERLINK("https://twitter.com/kiili")</f>
        <v>https://twitter.com/kiili</v>
      </c>
      <c r="AZ213" s="89" t="s">
        <v>65</v>
      </c>
      <c r="BA213" s="89" t="str">
        <f>REPLACE(INDEX(GroupVertices[Group],MATCH(Vertices[[#This Row],[Vertex]],GroupVertices[Vertex],0)),1,1,"")</f>
        <v>2</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323</v>
      </c>
      <c r="B214" s="66"/>
      <c r="C214" s="66" t="s">
        <v>64</v>
      </c>
      <c r="D214" s="67">
        <v>392.9842791621962</v>
      </c>
      <c r="E214" s="69"/>
      <c r="F214" s="111" t="str">
        <f>HYPERLINK("https://pbs.twimg.com/profile_images/1457628999551700996/bXeOcT0h_normal.jpg")</f>
        <v>https://pbs.twimg.com/profile_images/1457628999551700996/bXeOcT0h_normal.jpg</v>
      </c>
      <c r="G214" s="66"/>
      <c r="H214" s="70" t="s">
        <v>323</v>
      </c>
      <c r="I214" s="71" t="s">
        <v>5834</v>
      </c>
      <c r="J214" s="71" t="s">
        <v>73</v>
      </c>
      <c r="K214" s="70" t="s">
        <v>2511</v>
      </c>
      <c r="L214" s="74">
        <v>953.1904761904761</v>
      </c>
      <c r="M214" s="75">
        <v>4501.7890625</v>
      </c>
      <c r="N214" s="75">
        <v>1913.607421875</v>
      </c>
      <c r="O214" s="76"/>
      <c r="P214" s="77"/>
      <c r="Q214" s="77"/>
      <c r="R214" s="104"/>
      <c r="S214" s="49">
        <v>2</v>
      </c>
      <c r="T214" s="49">
        <v>1</v>
      </c>
      <c r="U214" s="50">
        <v>0</v>
      </c>
      <c r="V214" s="50">
        <v>0.000766</v>
      </c>
      <c r="W214" s="50">
        <v>0.003908</v>
      </c>
      <c r="X214" s="50">
        <v>0.563189</v>
      </c>
      <c r="Y214" s="50">
        <v>0</v>
      </c>
      <c r="Z214" s="50">
        <v>0</v>
      </c>
      <c r="AA214" s="72">
        <v>214</v>
      </c>
      <c r="AB214" s="72"/>
      <c r="AC214" s="73"/>
      <c r="AD214" s="89" t="s">
        <v>1685</v>
      </c>
      <c r="AE214" s="102" t="s">
        <v>1910</v>
      </c>
      <c r="AF214" s="89">
        <v>1041</v>
      </c>
      <c r="AG214" s="89">
        <v>347</v>
      </c>
      <c r="AH214" s="89">
        <v>951</v>
      </c>
      <c r="AI214" s="89">
        <v>633</v>
      </c>
      <c r="AJ214" s="89"/>
      <c r="AK214" s="89" t="s">
        <v>2141</v>
      </c>
      <c r="AL214" s="89"/>
      <c r="AM214" s="89"/>
      <c r="AN214" s="89"/>
      <c r="AO214" s="92">
        <v>44151.34542824074</v>
      </c>
      <c r="AP214" s="95" t="str">
        <f>HYPERLINK("https://pbs.twimg.com/profile_banners/1328250727660216321/1636360312")</f>
        <v>https://pbs.twimg.com/profile_banners/1328250727660216321/1636360312</v>
      </c>
      <c r="AQ214" s="89" t="b">
        <v>1</v>
      </c>
      <c r="AR214" s="89" t="b">
        <v>0</v>
      </c>
      <c r="AS214" s="89" t="b">
        <v>0</v>
      </c>
      <c r="AT214" s="89"/>
      <c r="AU214" s="89">
        <v>1</v>
      </c>
      <c r="AV214" s="89"/>
      <c r="AW214" s="89" t="b">
        <v>0</v>
      </c>
      <c r="AX214" s="89" t="s">
        <v>2300</v>
      </c>
      <c r="AY214" s="95" t="str">
        <f>HYPERLINK("https://twitter.com/koala79124457")</f>
        <v>https://twitter.com/koala79124457</v>
      </c>
      <c r="AZ214" s="89" t="s">
        <v>66</v>
      </c>
      <c r="BA214" s="89" t="str">
        <f>REPLACE(INDEX(GroupVertices[Group],MATCH(Vertices[[#This Row],[Vertex]],GroupVertices[Vertex],0)),1,1,"")</f>
        <v>3</v>
      </c>
      <c r="BB214" s="49">
        <v>0</v>
      </c>
      <c r="BC214" s="50">
        <v>0</v>
      </c>
      <c r="BD214" s="49">
        <v>0</v>
      </c>
      <c r="BE214" s="50">
        <v>0</v>
      </c>
      <c r="BF214" s="49">
        <v>0</v>
      </c>
      <c r="BG214" s="50">
        <v>0</v>
      </c>
      <c r="BH214" s="49">
        <v>29</v>
      </c>
      <c r="BI214" s="50">
        <v>100</v>
      </c>
      <c r="BJ214" s="49">
        <v>29</v>
      </c>
      <c r="BK214" s="49"/>
      <c r="BL214" s="49"/>
      <c r="BM214" s="49"/>
      <c r="BN214" s="49"/>
      <c r="BO214" s="49"/>
      <c r="BP214" s="49"/>
      <c r="BQ214" s="123" t="s">
        <v>5619</v>
      </c>
      <c r="BR214" s="123" t="s">
        <v>5619</v>
      </c>
      <c r="BS214" s="123" t="s">
        <v>5756</v>
      </c>
      <c r="BT214" s="123" t="s">
        <v>5756</v>
      </c>
      <c r="BU214" s="2"/>
      <c r="BV214" s="3"/>
      <c r="BW214" s="3"/>
      <c r="BX214" s="3"/>
      <c r="BY214" s="3"/>
    </row>
    <row r="215" spans="1:77" ht="15">
      <c r="A215" s="65" t="s">
        <v>325</v>
      </c>
      <c r="B215" s="66"/>
      <c r="C215" s="66" t="s">
        <v>46</v>
      </c>
      <c r="D215" s="67"/>
      <c r="E215" s="69"/>
      <c r="F215" s="111" t="str">
        <f>HYPERLINK("https://pbs.twimg.com/profile_images/1436434198991151130/N-Qf5CiO_normal.jpg")</f>
        <v>https://pbs.twimg.com/profile_images/1436434198991151130/N-Qf5CiO_normal.jpg</v>
      </c>
      <c r="G215" s="66"/>
      <c r="H215" s="70" t="s">
        <v>325</v>
      </c>
      <c r="I215" s="71" t="s">
        <v>5818</v>
      </c>
      <c r="J215" s="71" t="s">
        <v>73</v>
      </c>
      <c r="K215" s="70" t="s">
        <v>2512</v>
      </c>
      <c r="L215" s="74">
        <v>1</v>
      </c>
      <c r="M215" s="75">
        <v>2786.54052734375</v>
      </c>
      <c r="N215" s="75">
        <v>7894.58349609375</v>
      </c>
      <c r="O215" s="76"/>
      <c r="P215" s="77"/>
      <c r="Q215" s="77"/>
      <c r="R215" s="104"/>
      <c r="S215" s="49">
        <v>0</v>
      </c>
      <c r="T215" s="49">
        <v>1</v>
      </c>
      <c r="U215" s="50">
        <v>0</v>
      </c>
      <c r="V215" s="50">
        <v>0.000769</v>
      </c>
      <c r="W215" s="50">
        <v>0.000197</v>
      </c>
      <c r="X215" s="50">
        <v>0.419966</v>
      </c>
      <c r="Y215" s="50">
        <v>0</v>
      </c>
      <c r="Z215" s="50">
        <v>0</v>
      </c>
      <c r="AA215" s="72">
        <v>215</v>
      </c>
      <c r="AB215" s="72"/>
      <c r="AC215" s="73"/>
      <c r="AD215" s="89" t="s">
        <v>1686</v>
      </c>
      <c r="AE215" s="102" t="s">
        <v>1911</v>
      </c>
      <c r="AF215" s="89">
        <v>638</v>
      </c>
      <c r="AG215" s="89">
        <v>310</v>
      </c>
      <c r="AH215" s="89">
        <v>2307</v>
      </c>
      <c r="AI215" s="89">
        <v>20506</v>
      </c>
      <c r="AJ215" s="89"/>
      <c r="AK215" s="89" t="s">
        <v>2142</v>
      </c>
      <c r="AL215" s="89"/>
      <c r="AM215" s="89"/>
      <c r="AN215" s="89"/>
      <c r="AO215" s="92">
        <v>43242.54508101852</v>
      </c>
      <c r="AP215" s="95" t="str">
        <f>HYPERLINK("https://pbs.twimg.com/profile_banners/998912589706022915/1621193632")</f>
        <v>https://pbs.twimg.com/profile_banners/998912589706022915/1621193632</v>
      </c>
      <c r="AQ215" s="89" t="b">
        <v>1</v>
      </c>
      <c r="AR215" s="89" t="b">
        <v>0</v>
      </c>
      <c r="AS215" s="89" t="b">
        <v>0</v>
      </c>
      <c r="AT215" s="89"/>
      <c r="AU215" s="89">
        <v>0</v>
      </c>
      <c r="AV215" s="89"/>
      <c r="AW215" s="89" t="b">
        <v>0</v>
      </c>
      <c r="AX215" s="89" t="s">
        <v>2300</v>
      </c>
      <c r="AY215" s="95" t="str">
        <f>HYPERLINK("https://twitter.com/akimiettinen1")</f>
        <v>https://twitter.com/akimiettinen1</v>
      </c>
      <c r="AZ215" s="89" t="s">
        <v>66</v>
      </c>
      <c r="BA215" s="89" t="str">
        <f>REPLACE(INDEX(GroupVertices[Group],MATCH(Vertices[[#This Row],[Vertex]],GroupVertices[Vertex],0)),1,1,"")</f>
        <v>1</v>
      </c>
      <c r="BB215" s="49">
        <v>0</v>
      </c>
      <c r="BC215" s="50">
        <v>0</v>
      </c>
      <c r="BD215" s="49">
        <v>0</v>
      </c>
      <c r="BE215" s="50">
        <v>0</v>
      </c>
      <c r="BF215" s="49">
        <v>0</v>
      </c>
      <c r="BG215" s="50">
        <v>0</v>
      </c>
      <c r="BH215" s="49">
        <v>16</v>
      </c>
      <c r="BI215" s="50">
        <v>100</v>
      </c>
      <c r="BJ215" s="49">
        <v>16</v>
      </c>
      <c r="BK215" s="49" t="s">
        <v>5189</v>
      </c>
      <c r="BL215" s="49" t="s">
        <v>5189</v>
      </c>
      <c r="BM215" s="49" t="s">
        <v>693</v>
      </c>
      <c r="BN215" s="49" t="s">
        <v>693</v>
      </c>
      <c r="BO215" s="49" t="s">
        <v>712</v>
      </c>
      <c r="BP215" s="49" t="s">
        <v>712</v>
      </c>
      <c r="BQ215" s="123" t="s">
        <v>5590</v>
      </c>
      <c r="BR215" s="123" t="s">
        <v>5590</v>
      </c>
      <c r="BS215" s="123" t="s">
        <v>5742</v>
      </c>
      <c r="BT215" s="123" t="s">
        <v>5742</v>
      </c>
      <c r="BU215" s="2"/>
      <c r="BV215" s="3"/>
      <c r="BW215" s="3"/>
      <c r="BX215" s="3"/>
      <c r="BY215" s="3"/>
    </row>
    <row r="216" spans="1:77" ht="15">
      <c r="A216" s="65" t="s">
        <v>326</v>
      </c>
      <c r="B216" s="66"/>
      <c r="C216" s="66" t="s">
        <v>46</v>
      </c>
      <c r="D216" s="67"/>
      <c r="E216" s="69"/>
      <c r="F216" s="111" t="str">
        <f>HYPERLINK("https://abs.twimg.com/sticky/default_profile_images/default_profile_normal.png")</f>
        <v>https://abs.twimg.com/sticky/default_profile_images/default_profile_normal.png</v>
      </c>
      <c r="G216" s="66"/>
      <c r="H216" s="70" t="s">
        <v>326</v>
      </c>
      <c r="I216" s="71" t="s">
        <v>5834</v>
      </c>
      <c r="J216" s="71" t="s">
        <v>73</v>
      </c>
      <c r="K216" s="70" t="s">
        <v>2513</v>
      </c>
      <c r="L216" s="74">
        <v>1</v>
      </c>
      <c r="M216" s="75">
        <v>4179.16943359375</v>
      </c>
      <c r="N216" s="75">
        <v>2774.962646484375</v>
      </c>
      <c r="O216" s="76"/>
      <c r="P216" s="77"/>
      <c r="Q216" s="77"/>
      <c r="R216" s="104"/>
      <c r="S216" s="49">
        <v>0</v>
      </c>
      <c r="T216" s="49">
        <v>3</v>
      </c>
      <c r="U216" s="50">
        <v>0.111111</v>
      </c>
      <c r="V216" s="50">
        <v>0.000873</v>
      </c>
      <c r="W216" s="50">
        <v>0.020768000000000002</v>
      </c>
      <c r="X216" s="50">
        <v>0.627945</v>
      </c>
      <c r="Y216" s="50">
        <v>0.3333333333333333</v>
      </c>
      <c r="Z216" s="50">
        <v>0</v>
      </c>
      <c r="AA216" s="72">
        <v>216</v>
      </c>
      <c r="AB216" s="72"/>
      <c r="AC216" s="73"/>
      <c r="AD216" s="89" t="s">
        <v>1687</v>
      </c>
      <c r="AE216" s="102" t="s">
        <v>1912</v>
      </c>
      <c r="AF216" s="89">
        <v>11</v>
      </c>
      <c r="AG216" s="89">
        <v>2</v>
      </c>
      <c r="AH216" s="89">
        <v>69</v>
      </c>
      <c r="AI216" s="89">
        <v>399</v>
      </c>
      <c r="AJ216" s="89"/>
      <c r="AK216" s="89"/>
      <c r="AL216" s="89"/>
      <c r="AM216" s="89"/>
      <c r="AN216" s="89"/>
      <c r="AO216" s="92">
        <v>42845.41877314815</v>
      </c>
      <c r="AP216" s="89"/>
      <c r="AQ216" s="89" t="b">
        <v>1</v>
      </c>
      <c r="AR216" s="89" t="b">
        <v>1</v>
      </c>
      <c r="AS216" s="89" t="b">
        <v>0</v>
      </c>
      <c r="AT216" s="89"/>
      <c r="AU216" s="89">
        <v>0</v>
      </c>
      <c r="AV216" s="89"/>
      <c r="AW216" s="89" t="b">
        <v>0</v>
      </c>
      <c r="AX216" s="89" t="s">
        <v>2300</v>
      </c>
      <c r="AY216" s="95" t="str">
        <f>HYPERLINK("https://twitter.com/katrintviitit")</f>
        <v>https://twitter.com/katrintviitit</v>
      </c>
      <c r="AZ216" s="89" t="s">
        <v>66</v>
      </c>
      <c r="BA216" s="89" t="str">
        <f>REPLACE(INDEX(GroupVertices[Group],MATCH(Vertices[[#This Row],[Vertex]],GroupVertices[Vertex],0)),1,1,"")</f>
        <v>3</v>
      </c>
      <c r="BB216" s="49">
        <v>0</v>
      </c>
      <c r="BC216" s="50">
        <v>0</v>
      </c>
      <c r="BD216" s="49">
        <v>0</v>
      </c>
      <c r="BE216" s="50">
        <v>0</v>
      </c>
      <c r="BF216" s="49">
        <v>0</v>
      </c>
      <c r="BG216" s="50">
        <v>0</v>
      </c>
      <c r="BH216" s="49">
        <v>13</v>
      </c>
      <c r="BI216" s="50">
        <v>100</v>
      </c>
      <c r="BJ216" s="49">
        <v>13</v>
      </c>
      <c r="BK216" s="49"/>
      <c r="BL216" s="49"/>
      <c r="BM216" s="49"/>
      <c r="BN216" s="49"/>
      <c r="BO216" s="49" t="s">
        <v>712</v>
      </c>
      <c r="BP216" s="49" t="s">
        <v>712</v>
      </c>
      <c r="BQ216" s="123" t="s">
        <v>5561</v>
      </c>
      <c r="BR216" s="123" t="s">
        <v>5561</v>
      </c>
      <c r="BS216" s="123" t="s">
        <v>5713</v>
      </c>
      <c r="BT216" s="123" t="s">
        <v>5713</v>
      </c>
      <c r="BU216" s="2"/>
      <c r="BV216" s="3"/>
      <c r="BW216" s="3"/>
      <c r="BX216" s="3"/>
      <c r="BY216" s="3"/>
    </row>
    <row r="217" spans="1:77" ht="15">
      <c r="A217" s="65" t="s">
        <v>327</v>
      </c>
      <c r="B217" s="66"/>
      <c r="C217" s="66" t="s">
        <v>46</v>
      </c>
      <c r="D217" s="67">
        <v>10</v>
      </c>
      <c r="E217" s="69"/>
      <c r="F217" s="111" t="str">
        <f>HYPERLINK("https://pbs.twimg.com/profile_images/1409773292609736706/7jowHlKn_normal.jpg")</f>
        <v>https://pbs.twimg.com/profile_images/1409773292609736706/7jowHlKn_normal.jpg</v>
      </c>
      <c r="G217" s="66"/>
      <c r="H217" s="70" t="s">
        <v>327</v>
      </c>
      <c r="I217" s="71" t="s">
        <v>5835</v>
      </c>
      <c r="J217" s="71" t="s">
        <v>73</v>
      </c>
      <c r="K217" s="70" t="s">
        <v>2514</v>
      </c>
      <c r="L217" s="74">
        <v>477.0952380952381</v>
      </c>
      <c r="M217" s="75">
        <v>7778.4775390625</v>
      </c>
      <c r="N217" s="75">
        <v>878.13232421875</v>
      </c>
      <c r="O217" s="76"/>
      <c r="P217" s="77"/>
      <c r="Q217" s="77"/>
      <c r="R217" s="104"/>
      <c r="S217" s="49">
        <v>1</v>
      </c>
      <c r="T217" s="49">
        <v>1</v>
      </c>
      <c r="U217" s="50">
        <v>0</v>
      </c>
      <c r="V217" s="50">
        <v>0.000668</v>
      </c>
      <c r="W217" s="50">
        <v>9.4E-05</v>
      </c>
      <c r="X217" s="50">
        <v>0.769144</v>
      </c>
      <c r="Y217" s="50">
        <v>0.5</v>
      </c>
      <c r="Z217" s="50">
        <v>0</v>
      </c>
      <c r="AA217" s="72">
        <v>217</v>
      </c>
      <c r="AB217" s="72"/>
      <c r="AC217" s="73"/>
      <c r="AD217" s="89" t="s">
        <v>1688</v>
      </c>
      <c r="AE217" s="102" t="s">
        <v>1405</v>
      </c>
      <c r="AF217" s="89">
        <v>529</v>
      </c>
      <c r="AG217" s="89">
        <v>2428</v>
      </c>
      <c r="AH217" s="89">
        <v>33079</v>
      </c>
      <c r="AI217" s="89">
        <v>40694</v>
      </c>
      <c r="AJ217" s="89"/>
      <c r="AK217" s="89" t="s">
        <v>2143</v>
      </c>
      <c r="AL217" s="89" t="s">
        <v>2279</v>
      </c>
      <c r="AM217" s="89"/>
      <c r="AN217" s="89"/>
      <c r="AO217" s="92">
        <v>41896.39215277778</v>
      </c>
      <c r="AP217" s="95" t="str">
        <f>HYPERLINK("https://pbs.twimg.com/profile_banners/2769822339/1610615426")</f>
        <v>https://pbs.twimg.com/profile_banners/2769822339/1610615426</v>
      </c>
      <c r="AQ217" s="89" t="b">
        <v>0</v>
      </c>
      <c r="AR217" s="89" t="b">
        <v>0</v>
      </c>
      <c r="AS217" s="89" t="b">
        <v>0</v>
      </c>
      <c r="AT217" s="89"/>
      <c r="AU217" s="89">
        <v>7</v>
      </c>
      <c r="AV217" s="95" t="str">
        <f>HYPERLINK("https://abs.twimg.com/images/themes/theme1/bg.png")</f>
        <v>https://abs.twimg.com/images/themes/theme1/bg.png</v>
      </c>
      <c r="AW217" s="89" t="b">
        <v>0</v>
      </c>
      <c r="AX217" s="89" t="s">
        <v>2300</v>
      </c>
      <c r="AY217" s="95" t="str">
        <f>HYPERLINK("https://twitter.com/sekoomus")</f>
        <v>https://twitter.com/sekoomus</v>
      </c>
      <c r="AZ217" s="89" t="s">
        <v>66</v>
      </c>
      <c r="BA217" s="89" t="str">
        <f>REPLACE(INDEX(GroupVertices[Group],MATCH(Vertices[[#This Row],[Vertex]],GroupVertices[Vertex],0)),1,1,"")</f>
        <v>18</v>
      </c>
      <c r="BB217" s="49">
        <v>0</v>
      </c>
      <c r="BC217" s="50">
        <v>0</v>
      </c>
      <c r="BD217" s="49">
        <v>0</v>
      </c>
      <c r="BE217" s="50">
        <v>0</v>
      </c>
      <c r="BF217" s="49">
        <v>0</v>
      </c>
      <c r="BG217" s="50">
        <v>0</v>
      </c>
      <c r="BH217" s="49">
        <v>37</v>
      </c>
      <c r="BI217" s="50">
        <v>100</v>
      </c>
      <c r="BJ217" s="49">
        <v>37</v>
      </c>
      <c r="BK217" s="49"/>
      <c r="BL217" s="49"/>
      <c r="BM217" s="49"/>
      <c r="BN217" s="49"/>
      <c r="BO217" s="49"/>
      <c r="BP217" s="49"/>
      <c r="BQ217" s="123" t="s">
        <v>5620</v>
      </c>
      <c r="BR217" s="123" t="s">
        <v>5620</v>
      </c>
      <c r="BS217" s="123" t="s">
        <v>5770</v>
      </c>
      <c r="BT217" s="123" t="s">
        <v>5770</v>
      </c>
      <c r="BU217" s="2"/>
      <c r="BV217" s="3"/>
      <c r="BW217" s="3"/>
      <c r="BX217" s="3"/>
      <c r="BY217" s="3"/>
    </row>
    <row r="218" spans="1:77" ht="15">
      <c r="A218" s="65" t="s">
        <v>328</v>
      </c>
      <c r="B218" s="66"/>
      <c r="C218" s="66" t="s">
        <v>46</v>
      </c>
      <c r="D218" s="67"/>
      <c r="E218" s="69"/>
      <c r="F218" s="111" t="str">
        <f>HYPERLINK("https://abs.twimg.com/sticky/default_profile_images/default_profile_normal.png")</f>
        <v>https://abs.twimg.com/sticky/default_profile_images/default_profile_normal.png</v>
      </c>
      <c r="G218" s="66"/>
      <c r="H218" s="70" t="s">
        <v>328</v>
      </c>
      <c r="I218" s="71" t="s">
        <v>5835</v>
      </c>
      <c r="J218" s="71" t="s">
        <v>73</v>
      </c>
      <c r="K218" s="70" t="s">
        <v>2515</v>
      </c>
      <c r="L218" s="74">
        <v>1</v>
      </c>
      <c r="M218" s="75">
        <v>7778.4775390625</v>
      </c>
      <c r="N218" s="75">
        <v>1307.4417724609375</v>
      </c>
      <c r="O218" s="76"/>
      <c r="P218" s="77"/>
      <c r="Q218" s="77"/>
      <c r="R218" s="104"/>
      <c r="S218" s="49">
        <v>0</v>
      </c>
      <c r="T218" s="49">
        <v>2</v>
      </c>
      <c r="U218" s="50">
        <v>0</v>
      </c>
      <c r="V218" s="50">
        <v>0.000668</v>
      </c>
      <c r="W218" s="50">
        <v>9.4E-05</v>
      </c>
      <c r="X218" s="50">
        <v>0.769144</v>
      </c>
      <c r="Y218" s="50">
        <v>0.5</v>
      </c>
      <c r="Z218" s="50">
        <v>0</v>
      </c>
      <c r="AA218" s="72">
        <v>218</v>
      </c>
      <c r="AB218" s="72"/>
      <c r="AC218" s="73"/>
      <c r="AD218" s="89" t="s">
        <v>1689</v>
      </c>
      <c r="AE218" s="102" t="s">
        <v>1913</v>
      </c>
      <c r="AF218" s="89">
        <v>76</v>
      </c>
      <c r="AG218" s="89">
        <v>33</v>
      </c>
      <c r="AH218" s="89">
        <v>1034</v>
      </c>
      <c r="AI218" s="89">
        <v>4009</v>
      </c>
      <c r="AJ218" s="89"/>
      <c r="AK218" s="89"/>
      <c r="AL218" s="89"/>
      <c r="AM218" s="89"/>
      <c r="AN218" s="89"/>
      <c r="AO218" s="92">
        <v>44255.52626157407</v>
      </c>
      <c r="AP218" s="89"/>
      <c r="AQ218" s="89" t="b">
        <v>1</v>
      </c>
      <c r="AR218" s="89" t="b">
        <v>1</v>
      </c>
      <c r="AS218" s="89" t="b">
        <v>0</v>
      </c>
      <c r="AT218" s="89"/>
      <c r="AU218" s="89">
        <v>0</v>
      </c>
      <c r="AV218" s="89"/>
      <c r="AW218" s="89" t="b">
        <v>0</v>
      </c>
      <c r="AX218" s="89" t="s">
        <v>2300</v>
      </c>
      <c r="AY218" s="95" t="str">
        <f>HYPERLINK("https://twitter.com/rope55543770")</f>
        <v>https://twitter.com/rope55543770</v>
      </c>
      <c r="AZ218" s="89" t="s">
        <v>66</v>
      </c>
      <c r="BA218" s="89" t="str">
        <f>REPLACE(INDEX(GroupVertices[Group],MATCH(Vertices[[#This Row],[Vertex]],GroupVertices[Vertex],0)),1,1,"")</f>
        <v>18</v>
      </c>
      <c r="BB218" s="49">
        <v>0</v>
      </c>
      <c r="BC218" s="50">
        <v>0</v>
      </c>
      <c r="BD218" s="49">
        <v>0</v>
      </c>
      <c r="BE218" s="50">
        <v>0</v>
      </c>
      <c r="BF218" s="49">
        <v>0</v>
      </c>
      <c r="BG218" s="50">
        <v>0</v>
      </c>
      <c r="BH218" s="49">
        <v>12</v>
      </c>
      <c r="BI218" s="50">
        <v>100</v>
      </c>
      <c r="BJ218" s="49">
        <v>12</v>
      </c>
      <c r="BK218" s="49"/>
      <c r="BL218" s="49"/>
      <c r="BM218" s="49"/>
      <c r="BN218" s="49"/>
      <c r="BO218" s="49"/>
      <c r="BP218" s="49"/>
      <c r="BQ218" s="123" t="s">
        <v>5621</v>
      </c>
      <c r="BR218" s="123" t="s">
        <v>5621</v>
      </c>
      <c r="BS218" s="123" t="s">
        <v>5771</v>
      </c>
      <c r="BT218" s="123" t="s">
        <v>5771</v>
      </c>
      <c r="BU218" s="2"/>
      <c r="BV218" s="3"/>
      <c r="BW218" s="3"/>
      <c r="BX218" s="3"/>
      <c r="BY218" s="3"/>
    </row>
    <row r="219" spans="1:77" ht="15">
      <c r="A219" s="65" t="s">
        <v>329</v>
      </c>
      <c r="B219" s="66"/>
      <c r="C219" s="66" t="s">
        <v>46</v>
      </c>
      <c r="D219" s="67"/>
      <c r="E219" s="69"/>
      <c r="F219" s="111" t="str">
        <f>HYPERLINK("https://pbs.twimg.com/profile_images/1407839989988216832/vJoNIPEk_normal.jpg")</f>
        <v>https://pbs.twimg.com/profile_images/1407839989988216832/vJoNIPEk_normal.jpg</v>
      </c>
      <c r="G219" s="66"/>
      <c r="H219" s="70" t="s">
        <v>329</v>
      </c>
      <c r="I219" s="71" t="s">
        <v>5821</v>
      </c>
      <c r="J219" s="71" t="s">
        <v>73</v>
      </c>
      <c r="K219" s="70" t="s">
        <v>2516</v>
      </c>
      <c r="L219" s="74">
        <v>1</v>
      </c>
      <c r="M219" s="75">
        <v>2122.0615234375</v>
      </c>
      <c r="N219" s="75">
        <v>3132.349853515625</v>
      </c>
      <c r="O219" s="76"/>
      <c r="P219" s="77"/>
      <c r="Q219" s="77"/>
      <c r="R219" s="104"/>
      <c r="S219" s="49">
        <v>0</v>
      </c>
      <c r="T219" s="49">
        <v>5</v>
      </c>
      <c r="U219" s="50">
        <v>974.095238</v>
      </c>
      <c r="V219" s="50">
        <v>0.000893</v>
      </c>
      <c r="W219" s="50">
        <v>0.0014</v>
      </c>
      <c r="X219" s="50">
        <v>1.380059</v>
      </c>
      <c r="Y219" s="50">
        <v>0.1</v>
      </c>
      <c r="Z219" s="50">
        <v>0</v>
      </c>
      <c r="AA219" s="72">
        <v>219</v>
      </c>
      <c r="AB219" s="72"/>
      <c r="AC219" s="73"/>
      <c r="AD219" s="89" t="s">
        <v>1690</v>
      </c>
      <c r="AE219" s="102" t="s">
        <v>1914</v>
      </c>
      <c r="AF219" s="89">
        <v>989</v>
      </c>
      <c r="AG219" s="89">
        <v>826</v>
      </c>
      <c r="AH219" s="89">
        <v>27088</v>
      </c>
      <c r="AI219" s="89">
        <v>273549</v>
      </c>
      <c r="AJ219" s="89"/>
      <c r="AK219" s="89" t="s">
        <v>2144</v>
      </c>
      <c r="AL219" s="89" t="s">
        <v>2280</v>
      </c>
      <c r="AM219" s="89"/>
      <c r="AN219" s="89"/>
      <c r="AO219" s="92">
        <v>43693.36821759259</v>
      </c>
      <c r="AP219" s="95" t="str">
        <f>HYPERLINK("https://pbs.twimg.com/profile_banners/1162285142229995520/1624490184")</f>
        <v>https://pbs.twimg.com/profile_banners/1162285142229995520/1624490184</v>
      </c>
      <c r="AQ219" s="89" t="b">
        <v>1</v>
      </c>
      <c r="AR219" s="89" t="b">
        <v>0</v>
      </c>
      <c r="AS219" s="89" t="b">
        <v>0</v>
      </c>
      <c r="AT219" s="89"/>
      <c r="AU219" s="89">
        <v>0</v>
      </c>
      <c r="AV219" s="89"/>
      <c r="AW219" s="89" t="b">
        <v>0</v>
      </c>
      <c r="AX219" s="89" t="s">
        <v>2300</v>
      </c>
      <c r="AY219" s="95" t="str">
        <f>HYPERLINK("https://twitter.com/ryyppop")</f>
        <v>https://twitter.com/ryyppop</v>
      </c>
      <c r="AZ219" s="89" t="s">
        <v>66</v>
      </c>
      <c r="BA219" s="89" t="str">
        <f>REPLACE(INDEX(GroupVertices[Group],MATCH(Vertices[[#This Row],[Vertex]],GroupVertices[Vertex],0)),1,1,"")</f>
        <v>2</v>
      </c>
      <c r="BB219" s="49">
        <v>1</v>
      </c>
      <c r="BC219" s="50">
        <v>2.7027027027027026</v>
      </c>
      <c r="BD219" s="49">
        <v>0</v>
      </c>
      <c r="BE219" s="50">
        <v>0</v>
      </c>
      <c r="BF219" s="49">
        <v>0</v>
      </c>
      <c r="BG219" s="50">
        <v>0</v>
      </c>
      <c r="BH219" s="49">
        <v>36</v>
      </c>
      <c r="BI219" s="50">
        <v>97.29729729729729</v>
      </c>
      <c r="BJ219" s="49">
        <v>37</v>
      </c>
      <c r="BK219" s="49"/>
      <c r="BL219" s="49"/>
      <c r="BM219" s="49"/>
      <c r="BN219" s="49"/>
      <c r="BO219" s="49"/>
      <c r="BP219" s="49"/>
      <c r="BQ219" s="123" t="s">
        <v>5622</v>
      </c>
      <c r="BR219" s="123" t="s">
        <v>5622</v>
      </c>
      <c r="BS219" s="123" t="s">
        <v>5772</v>
      </c>
      <c r="BT219" s="123" t="s">
        <v>5772</v>
      </c>
      <c r="BU219" s="2"/>
      <c r="BV219" s="3"/>
      <c r="BW219" s="3"/>
      <c r="BX219" s="3"/>
      <c r="BY219" s="3"/>
    </row>
    <row r="220" spans="1:77" ht="15">
      <c r="A220" s="65" t="s">
        <v>478</v>
      </c>
      <c r="B220" s="66"/>
      <c r="C220" s="66" t="s">
        <v>46</v>
      </c>
      <c r="D220" s="67">
        <v>10</v>
      </c>
      <c r="E220" s="69"/>
      <c r="F220" s="111" t="str">
        <f>HYPERLINK("https://pbs.twimg.com/profile_images/3327007044/ec6042da81b75482c6f8821fe333e1af_normal.jpeg")</f>
        <v>https://pbs.twimg.com/profile_images/3327007044/ec6042da81b75482c6f8821fe333e1af_normal.jpeg</v>
      </c>
      <c r="G220" s="66"/>
      <c r="H220" s="70" t="s">
        <v>478</v>
      </c>
      <c r="I220" s="71" t="s">
        <v>5821</v>
      </c>
      <c r="J220" s="71" t="s">
        <v>75</v>
      </c>
      <c r="K220" s="70" t="s">
        <v>2517</v>
      </c>
      <c r="L220" s="74">
        <v>477.0952380952381</v>
      </c>
      <c r="M220" s="75">
        <v>2593.473388671875</v>
      </c>
      <c r="N220" s="75">
        <v>3698.42626953125</v>
      </c>
      <c r="O220" s="76"/>
      <c r="P220" s="77"/>
      <c r="Q220" s="77"/>
      <c r="R220" s="104"/>
      <c r="S220" s="49">
        <v>1</v>
      </c>
      <c r="T220" s="49">
        <v>0</v>
      </c>
      <c r="U220" s="50">
        <v>0</v>
      </c>
      <c r="V220" s="50">
        <v>0.000733</v>
      </c>
      <c r="W220" s="50">
        <v>0.000163</v>
      </c>
      <c r="X220" s="50">
        <v>0.38461</v>
      </c>
      <c r="Y220" s="50">
        <v>0</v>
      </c>
      <c r="Z220" s="50">
        <v>0</v>
      </c>
      <c r="AA220" s="72">
        <v>220</v>
      </c>
      <c r="AB220" s="72"/>
      <c r="AC220" s="73"/>
      <c r="AD220" s="89" t="s">
        <v>1691</v>
      </c>
      <c r="AE220" s="102" t="s">
        <v>1915</v>
      </c>
      <c r="AF220" s="89">
        <v>168</v>
      </c>
      <c r="AG220" s="89">
        <v>20</v>
      </c>
      <c r="AH220" s="89">
        <v>49</v>
      </c>
      <c r="AI220" s="89">
        <v>91</v>
      </c>
      <c r="AJ220" s="89"/>
      <c r="AK220" s="89"/>
      <c r="AL220" s="89"/>
      <c r="AM220" s="89"/>
      <c r="AN220" s="89"/>
      <c r="AO220" s="92">
        <v>41150.82784722222</v>
      </c>
      <c r="AP220" s="89"/>
      <c r="AQ220" s="89" t="b">
        <v>1</v>
      </c>
      <c r="AR220" s="89" t="b">
        <v>0</v>
      </c>
      <c r="AS220" s="89" t="b">
        <v>0</v>
      </c>
      <c r="AT220" s="89"/>
      <c r="AU220" s="89">
        <v>2</v>
      </c>
      <c r="AV220" s="95" t="str">
        <f>HYPERLINK("https://abs.twimg.com/images/themes/theme1/bg.png")</f>
        <v>https://abs.twimg.com/images/themes/theme1/bg.png</v>
      </c>
      <c r="AW220" s="89" t="b">
        <v>0</v>
      </c>
      <c r="AX220" s="89" t="s">
        <v>2300</v>
      </c>
      <c r="AY220" s="95" t="str">
        <f>HYPERLINK("https://twitter.com/nakkeman")</f>
        <v>https://twitter.com/nakkeman</v>
      </c>
      <c r="AZ220" s="89" t="s">
        <v>65</v>
      </c>
      <c r="BA220" s="89" t="str">
        <f>REPLACE(INDEX(GroupVertices[Group],MATCH(Vertices[[#This Row],[Vertex]],GroupVertices[Vertex],0)),1,1,"")</f>
        <v>2</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5" t="s">
        <v>479</v>
      </c>
      <c r="B221" s="66"/>
      <c r="C221" s="66" t="s">
        <v>46</v>
      </c>
      <c r="D221" s="67">
        <v>10</v>
      </c>
      <c r="E221" s="69"/>
      <c r="F221" s="111" t="str">
        <f>HYPERLINK("https://pbs.twimg.com/profile_images/1262323287604035584/MOqnM4wJ_normal.jpg")</f>
        <v>https://pbs.twimg.com/profile_images/1262323287604035584/MOqnM4wJ_normal.jpg</v>
      </c>
      <c r="G221" s="66"/>
      <c r="H221" s="70" t="s">
        <v>479</v>
      </c>
      <c r="I221" s="71" t="s">
        <v>5821</v>
      </c>
      <c r="J221" s="71" t="s">
        <v>75</v>
      </c>
      <c r="K221" s="70" t="s">
        <v>2518</v>
      </c>
      <c r="L221" s="74">
        <v>477.0952380952381</v>
      </c>
      <c r="M221" s="75">
        <v>2403.63818359375</v>
      </c>
      <c r="N221" s="75">
        <v>4035.04150390625</v>
      </c>
      <c r="O221" s="76"/>
      <c r="P221" s="77"/>
      <c r="Q221" s="77"/>
      <c r="R221" s="104"/>
      <c r="S221" s="49">
        <v>1</v>
      </c>
      <c r="T221" s="49">
        <v>0</v>
      </c>
      <c r="U221" s="50">
        <v>0</v>
      </c>
      <c r="V221" s="50">
        <v>0.000733</v>
      </c>
      <c r="W221" s="50">
        <v>0.000163</v>
      </c>
      <c r="X221" s="50">
        <v>0.38461</v>
      </c>
      <c r="Y221" s="50">
        <v>0</v>
      </c>
      <c r="Z221" s="50">
        <v>0</v>
      </c>
      <c r="AA221" s="72">
        <v>221</v>
      </c>
      <c r="AB221" s="72"/>
      <c r="AC221" s="73"/>
      <c r="AD221" s="89" t="s">
        <v>1692</v>
      </c>
      <c r="AE221" s="102" t="s">
        <v>1406</v>
      </c>
      <c r="AF221" s="89">
        <v>123</v>
      </c>
      <c r="AG221" s="89">
        <v>71</v>
      </c>
      <c r="AH221" s="89">
        <v>2874</v>
      </c>
      <c r="AI221" s="89">
        <v>4683</v>
      </c>
      <c r="AJ221" s="89"/>
      <c r="AK221" s="89" t="s">
        <v>2145</v>
      </c>
      <c r="AL221" s="89"/>
      <c r="AM221" s="89"/>
      <c r="AN221" s="89"/>
      <c r="AO221" s="92">
        <v>41169.61101851852</v>
      </c>
      <c r="AP221" s="95" t="str">
        <f>HYPERLINK("https://pbs.twimg.com/profile_banners/829188680/1588929006")</f>
        <v>https://pbs.twimg.com/profile_banners/829188680/1588929006</v>
      </c>
      <c r="AQ221" s="89" t="b">
        <v>1</v>
      </c>
      <c r="AR221" s="89" t="b">
        <v>0</v>
      </c>
      <c r="AS221" s="89" t="b">
        <v>0</v>
      </c>
      <c r="AT221" s="89"/>
      <c r="AU221" s="89">
        <v>1</v>
      </c>
      <c r="AV221" s="95" t="str">
        <f>HYPERLINK("https://abs.twimg.com/images/themes/theme1/bg.png")</f>
        <v>https://abs.twimg.com/images/themes/theme1/bg.png</v>
      </c>
      <c r="AW221" s="89" t="b">
        <v>0</v>
      </c>
      <c r="AX221" s="89" t="s">
        <v>2300</v>
      </c>
      <c r="AY221" s="95" t="str">
        <f>HYPERLINK("https://twitter.com/xarzi19")</f>
        <v>https://twitter.com/xarzi19</v>
      </c>
      <c r="AZ221" s="89" t="s">
        <v>65</v>
      </c>
      <c r="BA221" s="89" t="str">
        <f>REPLACE(INDEX(GroupVertices[Group],MATCH(Vertices[[#This Row],[Vertex]],GroupVertices[Vertex],0)),1,1,"")</f>
        <v>2</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5" t="s">
        <v>330</v>
      </c>
      <c r="B222" s="66"/>
      <c r="C222" s="66" t="s">
        <v>46</v>
      </c>
      <c r="D222" s="67"/>
      <c r="E222" s="69"/>
      <c r="F222" s="111" t="str">
        <f>HYPERLINK("https://pbs.twimg.com/profile_images/1251457200570150912/0J9N8j3q_normal.jpg")</f>
        <v>https://pbs.twimg.com/profile_images/1251457200570150912/0J9N8j3q_normal.jpg</v>
      </c>
      <c r="G222" s="66"/>
      <c r="H222" s="70" t="s">
        <v>330</v>
      </c>
      <c r="I222" s="71" t="s">
        <v>5818</v>
      </c>
      <c r="J222" s="71" t="s">
        <v>73</v>
      </c>
      <c r="K222" s="70" t="s">
        <v>2519</v>
      </c>
      <c r="L222" s="74">
        <v>1</v>
      </c>
      <c r="M222" s="75">
        <v>2147.267333984375</v>
      </c>
      <c r="N222" s="75">
        <v>8261.427734375</v>
      </c>
      <c r="O222" s="76"/>
      <c r="P222" s="77"/>
      <c r="Q222" s="77"/>
      <c r="R222" s="104"/>
      <c r="S222" s="49">
        <v>0</v>
      </c>
      <c r="T222" s="49">
        <v>2</v>
      </c>
      <c r="U222" s="50">
        <v>0</v>
      </c>
      <c r="V222" s="50">
        <v>0.000898</v>
      </c>
      <c r="W222" s="50">
        <v>0.000717</v>
      </c>
      <c r="X222" s="50">
        <v>0.588957</v>
      </c>
      <c r="Y222" s="50">
        <v>1</v>
      </c>
      <c r="Z222" s="50">
        <v>0</v>
      </c>
      <c r="AA222" s="72">
        <v>222</v>
      </c>
      <c r="AB222" s="72"/>
      <c r="AC222" s="73"/>
      <c r="AD222" s="89" t="s">
        <v>1693</v>
      </c>
      <c r="AE222" s="102" t="s">
        <v>1916</v>
      </c>
      <c r="AF222" s="89">
        <v>310</v>
      </c>
      <c r="AG222" s="89">
        <v>314</v>
      </c>
      <c r="AH222" s="89">
        <v>50378</v>
      </c>
      <c r="AI222" s="89">
        <v>92933</v>
      </c>
      <c r="AJ222" s="89"/>
      <c r="AK222" s="89" t="s">
        <v>2146</v>
      </c>
      <c r="AL222" s="89"/>
      <c r="AM222" s="89"/>
      <c r="AN222" s="89"/>
      <c r="AO222" s="92">
        <v>42707.65121527778</v>
      </c>
      <c r="AP222" s="89"/>
      <c r="AQ222" s="89" t="b">
        <v>1</v>
      </c>
      <c r="AR222" s="89" t="b">
        <v>0</v>
      </c>
      <c r="AS222" s="89" t="b">
        <v>0</v>
      </c>
      <c r="AT222" s="89"/>
      <c r="AU222" s="89">
        <v>0</v>
      </c>
      <c r="AV222" s="89"/>
      <c r="AW222" s="89" t="b">
        <v>0</v>
      </c>
      <c r="AX222" s="89" t="s">
        <v>2300</v>
      </c>
      <c r="AY222" s="95" t="str">
        <f>HYPERLINK("https://twitter.com/markkulaitinen3")</f>
        <v>https://twitter.com/markkulaitinen3</v>
      </c>
      <c r="AZ222" s="89" t="s">
        <v>66</v>
      </c>
      <c r="BA222" s="89" t="str">
        <f>REPLACE(INDEX(GroupVertices[Group],MATCH(Vertices[[#This Row],[Vertex]],GroupVertices[Vertex],0)),1,1,"")</f>
        <v>1</v>
      </c>
      <c r="BB222" s="49">
        <v>0</v>
      </c>
      <c r="BC222" s="50">
        <v>0</v>
      </c>
      <c r="BD222" s="49">
        <v>0</v>
      </c>
      <c r="BE222" s="50">
        <v>0</v>
      </c>
      <c r="BF222" s="49">
        <v>0</v>
      </c>
      <c r="BG222" s="50">
        <v>0</v>
      </c>
      <c r="BH222" s="49">
        <v>28</v>
      </c>
      <c r="BI222" s="50">
        <v>100</v>
      </c>
      <c r="BJ222" s="49">
        <v>28</v>
      </c>
      <c r="BK222" s="49"/>
      <c r="BL222" s="49"/>
      <c r="BM222" s="49"/>
      <c r="BN222" s="49"/>
      <c r="BO222" s="49"/>
      <c r="BP222" s="49"/>
      <c r="BQ222" s="123" t="s">
        <v>5603</v>
      </c>
      <c r="BR222" s="123" t="s">
        <v>5603</v>
      </c>
      <c r="BS222" s="123" t="s">
        <v>5754</v>
      </c>
      <c r="BT222" s="123" t="s">
        <v>5754</v>
      </c>
      <c r="BU222" s="2"/>
      <c r="BV222" s="3"/>
      <c r="BW222" s="3"/>
      <c r="BX222" s="3"/>
      <c r="BY222" s="3"/>
    </row>
    <row r="223" spans="1:77" ht="15">
      <c r="A223" s="65" t="s">
        <v>332</v>
      </c>
      <c r="B223" s="66"/>
      <c r="C223" s="66" t="s">
        <v>46</v>
      </c>
      <c r="D223" s="67">
        <v>10</v>
      </c>
      <c r="E223" s="69"/>
      <c r="F223" s="111" t="str">
        <f>HYPERLINK("https://pbs.twimg.com/profile_images/1008089204713230341/KCxoe70-_normal.jpg")</f>
        <v>https://pbs.twimg.com/profile_images/1008089204713230341/KCxoe70-_normal.jpg</v>
      </c>
      <c r="G223" s="66"/>
      <c r="H223" s="70" t="s">
        <v>332</v>
      </c>
      <c r="I223" s="71" t="s">
        <v>5826</v>
      </c>
      <c r="J223" s="71" t="s">
        <v>73</v>
      </c>
      <c r="K223" s="70" t="s">
        <v>2520</v>
      </c>
      <c r="L223" s="74">
        <v>477.0952380952381</v>
      </c>
      <c r="M223" s="75">
        <v>7073.09375</v>
      </c>
      <c r="N223" s="75">
        <v>2868.059814453125</v>
      </c>
      <c r="O223" s="76"/>
      <c r="P223" s="77"/>
      <c r="Q223" s="77"/>
      <c r="R223" s="104"/>
      <c r="S223" s="49">
        <v>1</v>
      </c>
      <c r="T223" s="49">
        <v>2</v>
      </c>
      <c r="U223" s="50">
        <v>488</v>
      </c>
      <c r="V223" s="50">
        <v>0.000637</v>
      </c>
      <c r="W223" s="50">
        <v>4E-05</v>
      </c>
      <c r="X223" s="50">
        <v>0.841906</v>
      </c>
      <c r="Y223" s="50">
        <v>0</v>
      </c>
      <c r="Z223" s="50">
        <v>0.5</v>
      </c>
      <c r="AA223" s="72">
        <v>223</v>
      </c>
      <c r="AB223" s="72"/>
      <c r="AC223" s="73"/>
      <c r="AD223" s="89" t="s">
        <v>1694</v>
      </c>
      <c r="AE223" s="102" t="s">
        <v>1408</v>
      </c>
      <c r="AF223" s="89">
        <v>31</v>
      </c>
      <c r="AG223" s="89">
        <v>174</v>
      </c>
      <c r="AH223" s="89">
        <v>36460</v>
      </c>
      <c r="AI223" s="89">
        <v>3</v>
      </c>
      <c r="AJ223" s="89"/>
      <c r="AK223" s="89"/>
      <c r="AL223" s="89" t="s">
        <v>2231</v>
      </c>
      <c r="AM223" s="89"/>
      <c r="AN223" s="89"/>
      <c r="AO223" s="92">
        <v>43231.377592592595</v>
      </c>
      <c r="AP223" s="89"/>
      <c r="AQ223" s="89" t="b">
        <v>1</v>
      </c>
      <c r="AR223" s="89" t="b">
        <v>0</v>
      </c>
      <c r="AS223" s="89" t="b">
        <v>0</v>
      </c>
      <c r="AT223" s="89"/>
      <c r="AU223" s="89">
        <v>3</v>
      </c>
      <c r="AV223" s="89"/>
      <c r="AW223" s="89" t="b">
        <v>0</v>
      </c>
      <c r="AX223" s="89" t="s">
        <v>2300</v>
      </c>
      <c r="AY223" s="95" t="str">
        <f>HYPERLINK("https://twitter.com/mikkokorhonen12")</f>
        <v>https://twitter.com/mikkokorhonen12</v>
      </c>
      <c r="AZ223" s="89" t="s">
        <v>66</v>
      </c>
      <c r="BA223" s="89" t="str">
        <f>REPLACE(INDEX(GroupVertices[Group],MATCH(Vertices[[#This Row],[Vertex]],GroupVertices[Vertex],0)),1,1,"")</f>
        <v>10</v>
      </c>
      <c r="BB223" s="49">
        <v>0</v>
      </c>
      <c r="BC223" s="50">
        <v>0</v>
      </c>
      <c r="BD223" s="49">
        <v>0</v>
      </c>
      <c r="BE223" s="50">
        <v>0</v>
      </c>
      <c r="BF223" s="49">
        <v>0</v>
      </c>
      <c r="BG223" s="50">
        <v>0</v>
      </c>
      <c r="BH223" s="49">
        <v>69</v>
      </c>
      <c r="BI223" s="50">
        <v>100</v>
      </c>
      <c r="BJ223" s="49">
        <v>69</v>
      </c>
      <c r="BK223" s="49"/>
      <c r="BL223" s="49"/>
      <c r="BM223" s="49"/>
      <c r="BN223" s="49"/>
      <c r="BO223" s="49"/>
      <c r="BP223" s="49"/>
      <c r="BQ223" s="123" t="s">
        <v>5623</v>
      </c>
      <c r="BR223" s="123" t="s">
        <v>5678</v>
      </c>
      <c r="BS223" s="123" t="s">
        <v>5773</v>
      </c>
      <c r="BT223" s="123" t="s">
        <v>5773</v>
      </c>
      <c r="BU223" s="2"/>
      <c r="BV223" s="3"/>
      <c r="BW223" s="3"/>
      <c r="BX223" s="3"/>
      <c r="BY223" s="3"/>
    </row>
    <row r="224" spans="1:77" ht="15">
      <c r="A224" s="65" t="s">
        <v>480</v>
      </c>
      <c r="B224" s="66"/>
      <c r="C224" s="66" t="s">
        <v>46</v>
      </c>
      <c r="D224" s="67">
        <v>10</v>
      </c>
      <c r="E224" s="69"/>
      <c r="F224" s="111" t="str">
        <f>HYPERLINK("https://pbs.twimg.com/profile_images/1465034178752401412/Kb_rXYwB_normal.jpg")</f>
        <v>https://pbs.twimg.com/profile_images/1465034178752401412/Kb_rXYwB_normal.jpg</v>
      </c>
      <c r="G224" s="66"/>
      <c r="H224" s="70" t="s">
        <v>480</v>
      </c>
      <c r="I224" s="71" t="s">
        <v>5826</v>
      </c>
      <c r="J224" s="71" t="s">
        <v>75</v>
      </c>
      <c r="K224" s="70" t="s">
        <v>2521</v>
      </c>
      <c r="L224" s="74">
        <v>477.0952380952381</v>
      </c>
      <c r="M224" s="75">
        <v>7392.87353515625</v>
      </c>
      <c r="N224" s="75">
        <v>2990.194091796875</v>
      </c>
      <c r="O224" s="76"/>
      <c r="P224" s="77"/>
      <c r="Q224" s="77"/>
      <c r="R224" s="104"/>
      <c r="S224" s="49">
        <v>1</v>
      </c>
      <c r="T224" s="49">
        <v>0</v>
      </c>
      <c r="U224" s="50">
        <v>0</v>
      </c>
      <c r="V224" s="50">
        <v>0.000552</v>
      </c>
      <c r="W224" s="50">
        <v>5E-06</v>
      </c>
      <c r="X224" s="50">
        <v>0.50781</v>
      </c>
      <c r="Y224" s="50">
        <v>0</v>
      </c>
      <c r="Z224" s="50">
        <v>0</v>
      </c>
      <c r="AA224" s="72">
        <v>224</v>
      </c>
      <c r="AB224" s="72"/>
      <c r="AC224" s="73"/>
      <c r="AD224" s="89" t="s">
        <v>1695</v>
      </c>
      <c r="AE224" s="102" t="s">
        <v>1407</v>
      </c>
      <c r="AF224" s="89">
        <v>18</v>
      </c>
      <c r="AG224" s="89">
        <v>0</v>
      </c>
      <c r="AH224" s="89">
        <v>41</v>
      </c>
      <c r="AI224" s="89">
        <v>71</v>
      </c>
      <c r="AJ224" s="89"/>
      <c r="AK224" s="89"/>
      <c r="AL224" s="89"/>
      <c r="AM224" s="89"/>
      <c r="AN224" s="89"/>
      <c r="AO224" s="92">
        <v>42035.69494212963</v>
      </c>
      <c r="AP224" s="95" t="str">
        <f>HYPERLINK("https://pbs.twimg.com/profile_banners/3007961321/1638126314")</f>
        <v>https://pbs.twimg.com/profile_banners/3007961321/1638126314</v>
      </c>
      <c r="AQ224" s="89" t="b">
        <v>1</v>
      </c>
      <c r="AR224" s="89" t="b">
        <v>0</v>
      </c>
      <c r="AS224" s="89" t="b">
        <v>0</v>
      </c>
      <c r="AT224" s="89"/>
      <c r="AU224" s="89">
        <v>0</v>
      </c>
      <c r="AV224" s="95" t="str">
        <f>HYPERLINK("https://abs.twimg.com/images/themes/theme1/bg.png")</f>
        <v>https://abs.twimg.com/images/themes/theme1/bg.png</v>
      </c>
      <c r="AW224" s="89" t="b">
        <v>0</v>
      </c>
      <c r="AX224" s="89" t="s">
        <v>2300</v>
      </c>
      <c r="AY224" s="95" t="str">
        <f>HYPERLINK("https://twitter.com/jutasa54")</f>
        <v>https://twitter.com/jutasa54</v>
      </c>
      <c r="AZ224" s="89" t="s">
        <v>65</v>
      </c>
      <c r="BA224" s="89" t="str">
        <f>REPLACE(INDEX(GroupVertices[Group],MATCH(Vertices[[#This Row],[Vertex]],GroupVertices[Vertex],0)),1,1,"")</f>
        <v>10</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5" t="s">
        <v>333</v>
      </c>
      <c r="B225" s="66"/>
      <c r="C225" s="66" t="s">
        <v>46</v>
      </c>
      <c r="D225" s="67"/>
      <c r="E225" s="69"/>
      <c r="F225" s="111" t="str">
        <f>HYPERLINK("https://pbs.twimg.com/profile_images/1272449419317837824/HfKw5_Wv_normal.jpg")</f>
        <v>https://pbs.twimg.com/profile_images/1272449419317837824/HfKw5_Wv_normal.jpg</v>
      </c>
      <c r="G225" s="66"/>
      <c r="H225" s="70" t="s">
        <v>333</v>
      </c>
      <c r="I225" s="71" t="s">
        <v>5821</v>
      </c>
      <c r="J225" s="71" t="s">
        <v>73</v>
      </c>
      <c r="K225" s="70" t="s">
        <v>2522</v>
      </c>
      <c r="L225" s="74">
        <v>1</v>
      </c>
      <c r="M225" s="75">
        <v>1867.489013671875</v>
      </c>
      <c r="N225" s="75">
        <v>3106.557373046875</v>
      </c>
      <c r="O225" s="76"/>
      <c r="P225" s="77"/>
      <c r="Q225" s="77"/>
      <c r="R225" s="104"/>
      <c r="S225" s="49">
        <v>0</v>
      </c>
      <c r="T225" s="49">
        <v>2</v>
      </c>
      <c r="U225" s="50">
        <v>0.095238</v>
      </c>
      <c r="V225" s="50">
        <v>0.000889</v>
      </c>
      <c r="W225" s="50">
        <v>0.001008</v>
      </c>
      <c r="X225" s="50">
        <v>0.538261</v>
      </c>
      <c r="Y225" s="50">
        <v>0</v>
      </c>
      <c r="Z225" s="50">
        <v>0</v>
      </c>
      <c r="AA225" s="72">
        <v>225</v>
      </c>
      <c r="AB225" s="72"/>
      <c r="AC225" s="73"/>
      <c r="AD225" s="89" t="s">
        <v>1696</v>
      </c>
      <c r="AE225" s="102" t="s">
        <v>1409</v>
      </c>
      <c r="AF225" s="89">
        <v>98</v>
      </c>
      <c r="AG225" s="89">
        <v>230</v>
      </c>
      <c r="AH225" s="89">
        <v>3982</v>
      </c>
      <c r="AI225" s="89">
        <v>740</v>
      </c>
      <c r="AJ225" s="89"/>
      <c r="AK225" s="89" t="s">
        <v>2147</v>
      </c>
      <c r="AL225" s="89" t="s">
        <v>2218</v>
      </c>
      <c r="AM225" s="95" t="str">
        <f>HYPERLINK("https://t.co/4e0cuz6CKW")</f>
        <v>https://t.co/4e0cuz6CKW</v>
      </c>
      <c r="AN225" s="89"/>
      <c r="AO225" s="92">
        <v>40556.66328703704</v>
      </c>
      <c r="AP225" s="95" t="str">
        <f>HYPERLINK("https://pbs.twimg.com/profile_banners/237769481/1634667810")</f>
        <v>https://pbs.twimg.com/profile_banners/237769481/1634667810</v>
      </c>
      <c r="AQ225" s="89" t="b">
        <v>0</v>
      </c>
      <c r="AR225" s="89" t="b">
        <v>0</v>
      </c>
      <c r="AS225" s="89" t="b">
        <v>0</v>
      </c>
      <c r="AT225" s="89"/>
      <c r="AU225" s="89">
        <v>4</v>
      </c>
      <c r="AV225" s="95" t="str">
        <f>HYPERLINK("https://abs.twimg.com/images/themes/theme7/bg.gif")</f>
        <v>https://abs.twimg.com/images/themes/theme7/bg.gif</v>
      </c>
      <c r="AW225" s="89" t="b">
        <v>0</v>
      </c>
      <c r="AX225" s="89" t="s">
        <v>2300</v>
      </c>
      <c r="AY225" s="95" t="str">
        <f>HYPERLINK("https://twitter.com/artokekkonen")</f>
        <v>https://twitter.com/artokekkonen</v>
      </c>
      <c r="AZ225" s="89" t="s">
        <v>66</v>
      </c>
      <c r="BA225" s="89" t="str">
        <f>REPLACE(INDEX(GroupVertices[Group],MATCH(Vertices[[#This Row],[Vertex]],GroupVertices[Vertex],0)),1,1,"")</f>
        <v>2</v>
      </c>
      <c r="BB225" s="49">
        <v>1</v>
      </c>
      <c r="BC225" s="50">
        <v>3.5714285714285716</v>
      </c>
      <c r="BD225" s="49">
        <v>0</v>
      </c>
      <c r="BE225" s="50">
        <v>0</v>
      </c>
      <c r="BF225" s="49">
        <v>0</v>
      </c>
      <c r="BG225" s="50">
        <v>0</v>
      </c>
      <c r="BH225" s="49">
        <v>27</v>
      </c>
      <c r="BI225" s="50">
        <v>96.42857142857143</v>
      </c>
      <c r="BJ225" s="49">
        <v>28</v>
      </c>
      <c r="BK225" s="49"/>
      <c r="BL225" s="49"/>
      <c r="BM225" s="49"/>
      <c r="BN225" s="49"/>
      <c r="BO225" s="49"/>
      <c r="BP225" s="49"/>
      <c r="BQ225" s="123" t="s">
        <v>5624</v>
      </c>
      <c r="BR225" s="123" t="s">
        <v>5624</v>
      </c>
      <c r="BS225" s="123" t="s">
        <v>5774</v>
      </c>
      <c r="BT225" s="123" t="s">
        <v>5774</v>
      </c>
      <c r="BU225" s="2"/>
      <c r="BV225" s="3"/>
      <c r="BW225" s="3"/>
      <c r="BX225" s="3"/>
      <c r="BY225" s="3"/>
    </row>
    <row r="226" spans="1:77" ht="15">
      <c r="A226" s="65" t="s">
        <v>334</v>
      </c>
      <c r="B226" s="66"/>
      <c r="C226" s="66" t="s">
        <v>46</v>
      </c>
      <c r="D226" s="67"/>
      <c r="E226" s="69"/>
      <c r="F226" s="111" t="str">
        <f>HYPERLINK("https://pbs.twimg.com/profile_images/1410560442368397318/612Msodv_normal.jpg")</f>
        <v>https://pbs.twimg.com/profile_images/1410560442368397318/612Msodv_normal.jpg</v>
      </c>
      <c r="G226" s="66"/>
      <c r="H226" s="70" t="s">
        <v>334</v>
      </c>
      <c r="I226" s="71" t="s">
        <v>5821</v>
      </c>
      <c r="J226" s="71" t="s">
        <v>73</v>
      </c>
      <c r="K226" s="70" t="s">
        <v>2523</v>
      </c>
      <c r="L226" s="74">
        <v>1</v>
      </c>
      <c r="M226" s="75">
        <v>1717.46875</v>
      </c>
      <c r="N226" s="75">
        <v>2039.0250244140625</v>
      </c>
      <c r="O226" s="76"/>
      <c r="P226" s="77"/>
      <c r="Q226" s="77"/>
      <c r="R226" s="104"/>
      <c r="S226" s="49">
        <v>0</v>
      </c>
      <c r="T226" s="49">
        <v>5</v>
      </c>
      <c r="U226" s="50">
        <v>6780.097319</v>
      </c>
      <c r="V226" s="50">
        <v>0.001063</v>
      </c>
      <c r="W226" s="50">
        <v>0.003276</v>
      </c>
      <c r="X226" s="50">
        <v>1.181608</v>
      </c>
      <c r="Y226" s="50">
        <v>0.15</v>
      </c>
      <c r="Z226" s="50">
        <v>0</v>
      </c>
      <c r="AA226" s="72">
        <v>226</v>
      </c>
      <c r="AB226" s="72"/>
      <c r="AC226" s="73"/>
      <c r="AD226" s="89" t="s">
        <v>1697</v>
      </c>
      <c r="AE226" s="102" t="s">
        <v>1410</v>
      </c>
      <c r="AF226" s="89">
        <v>621</v>
      </c>
      <c r="AG226" s="89">
        <v>523</v>
      </c>
      <c r="AH226" s="89">
        <v>5978</v>
      </c>
      <c r="AI226" s="89">
        <v>19932</v>
      </c>
      <c r="AJ226" s="89"/>
      <c r="AK226" s="89" t="s">
        <v>2148</v>
      </c>
      <c r="AL226" s="89"/>
      <c r="AM226" s="89"/>
      <c r="AN226" s="89"/>
      <c r="AO226" s="92">
        <v>44315.797060185185</v>
      </c>
      <c r="AP226" s="95" t="str">
        <f>HYPERLINK("https://pbs.twimg.com/profile_banners/1387846007665352710/1621188755")</f>
        <v>https://pbs.twimg.com/profile_banners/1387846007665352710/1621188755</v>
      </c>
      <c r="AQ226" s="89" t="b">
        <v>1</v>
      </c>
      <c r="AR226" s="89" t="b">
        <v>0</v>
      </c>
      <c r="AS226" s="89" t="b">
        <v>0</v>
      </c>
      <c r="AT226" s="89"/>
      <c r="AU226" s="89">
        <v>1</v>
      </c>
      <c r="AV226" s="89"/>
      <c r="AW226" s="89" t="b">
        <v>0</v>
      </c>
      <c r="AX226" s="89" t="s">
        <v>2300</v>
      </c>
      <c r="AY226" s="95" t="str">
        <f>HYPERLINK("https://twitter.com/pee_ranta")</f>
        <v>https://twitter.com/pee_ranta</v>
      </c>
      <c r="AZ226" s="89" t="s">
        <v>66</v>
      </c>
      <c r="BA226" s="89" t="str">
        <f>REPLACE(INDEX(GroupVertices[Group],MATCH(Vertices[[#This Row],[Vertex]],GroupVertices[Vertex],0)),1,1,"")</f>
        <v>2</v>
      </c>
      <c r="BB226" s="49">
        <v>0</v>
      </c>
      <c r="BC226" s="50">
        <v>0</v>
      </c>
      <c r="BD226" s="49">
        <v>0</v>
      </c>
      <c r="BE226" s="50">
        <v>0</v>
      </c>
      <c r="BF226" s="49">
        <v>0</v>
      </c>
      <c r="BG226" s="50">
        <v>0</v>
      </c>
      <c r="BH226" s="49">
        <v>91</v>
      </c>
      <c r="BI226" s="50">
        <v>100</v>
      </c>
      <c r="BJ226" s="49">
        <v>91</v>
      </c>
      <c r="BK226" s="49"/>
      <c r="BL226" s="49"/>
      <c r="BM226" s="49"/>
      <c r="BN226" s="49"/>
      <c r="BO226" s="49" t="s">
        <v>226</v>
      </c>
      <c r="BP226" s="49" t="s">
        <v>226</v>
      </c>
      <c r="BQ226" s="123" t="s">
        <v>5625</v>
      </c>
      <c r="BR226" s="123" t="s">
        <v>5679</v>
      </c>
      <c r="BS226" s="123" t="s">
        <v>5775</v>
      </c>
      <c r="BT226" s="123" t="s">
        <v>5814</v>
      </c>
      <c r="BU226" s="2"/>
      <c r="BV226" s="3"/>
      <c r="BW226" s="3"/>
      <c r="BX226" s="3"/>
      <c r="BY226" s="3"/>
    </row>
    <row r="227" spans="1:77" ht="15">
      <c r="A227" s="65" t="s">
        <v>335</v>
      </c>
      <c r="B227" s="66"/>
      <c r="C227" s="66" t="s">
        <v>46</v>
      </c>
      <c r="D227" s="67">
        <v>10</v>
      </c>
      <c r="E227" s="69"/>
      <c r="F227" s="111" t="str">
        <f>HYPERLINK("https://pbs.twimg.com/profile_images/1295924987/B_40_normal.jpg")</f>
        <v>https://pbs.twimg.com/profile_images/1295924987/B_40_normal.jpg</v>
      </c>
      <c r="G227" s="66"/>
      <c r="H227" s="70" t="s">
        <v>335</v>
      </c>
      <c r="I227" s="71" t="s">
        <v>5834</v>
      </c>
      <c r="J227" s="71" t="s">
        <v>73</v>
      </c>
      <c r="K227" s="70" t="s">
        <v>2524</v>
      </c>
      <c r="L227" s="74">
        <v>477.0952380952381</v>
      </c>
      <c r="M227" s="75">
        <v>4193.89892578125</v>
      </c>
      <c r="N227" s="75">
        <v>1469.205078125</v>
      </c>
      <c r="O227" s="76"/>
      <c r="P227" s="77"/>
      <c r="Q227" s="77"/>
      <c r="R227" s="104"/>
      <c r="S227" s="49">
        <v>1</v>
      </c>
      <c r="T227" s="49">
        <v>5</v>
      </c>
      <c r="U227" s="50">
        <v>3324.19771</v>
      </c>
      <c r="V227" s="50">
        <v>0.000898</v>
      </c>
      <c r="W227" s="50">
        <v>0.021661</v>
      </c>
      <c r="X227" s="50">
        <v>1.553855</v>
      </c>
      <c r="Y227" s="50">
        <v>0.06666666666666667</v>
      </c>
      <c r="Z227" s="50">
        <v>0</v>
      </c>
      <c r="AA227" s="72">
        <v>227</v>
      </c>
      <c r="AB227" s="72"/>
      <c r="AC227" s="73"/>
      <c r="AD227" s="89" t="s">
        <v>1698</v>
      </c>
      <c r="AE227" s="102" t="s">
        <v>1420</v>
      </c>
      <c r="AF227" s="89">
        <v>1136</v>
      </c>
      <c r="AG227" s="89">
        <v>748</v>
      </c>
      <c r="AH227" s="89">
        <v>4851</v>
      </c>
      <c r="AI227" s="89">
        <v>15360</v>
      </c>
      <c r="AJ227" s="89"/>
      <c r="AK227" s="89" t="s">
        <v>2149</v>
      </c>
      <c r="AL227" s="89" t="s">
        <v>2281</v>
      </c>
      <c r="AM227" s="95" t="str">
        <f>HYPERLINK("http://t.co/plvt4IGN49")</f>
        <v>http://t.co/plvt4IGN49</v>
      </c>
      <c r="AN227" s="89"/>
      <c r="AO227" s="92">
        <v>40420.481261574074</v>
      </c>
      <c r="AP227" s="95" t="str">
        <f>HYPERLINK("https://pbs.twimg.com/profile_banners/184747547/1361980087")</f>
        <v>https://pbs.twimg.com/profile_banners/184747547/1361980087</v>
      </c>
      <c r="AQ227" s="89" t="b">
        <v>1</v>
      </c>
      <c r="AR227" s="89" t="b">
        <v>0</v>
      </c>
      <c r="AS227" s="89" t="b">
        <v>1</v>
      </c>
      <c r="AT227" s="89"/>
      <c r="AU227" s="89">
        <v>4</v>
      </c>
      <c r="AV227" s="95" t="str">
        <f>HYPERLINK("https://abs.twimg.com/images/themes/theme1/bg.png")</f>
        <v>https://abs.twimg.com/images/themes/theme1/bg.png</v>
      </c>
      <c r="AW227" s="89" t="b">
        <v>0</v>
      </c>
      <c r="AX227" s="89" t="s">
        <v>2300</v>
      </c>
      <c r="AY227" s="95" t="str">
        <f>HYPERLINK("https://twitter.com/siniveikko")</f>
        <v>https://twitter.com/siniveikko</v>
      </c>
      <c r="AZ227" s="89" t="s">
        <v>66</v>
      </c>
      <c r="BA227" s="89" t="str">
        <f>REPLACE(INDEX(GroupVertices[Group],MATCH(Vertices[[#This Row],[Vertex]],GroupVertices[Vertex],0)),1,1,"")</f>
        <v>3</v>
      </c>
      <c r="BB227" s="49">
        <v>0</v>
      </c>
      <c r="BC227" s="50">
        <v>0</v>
      </c>
      <c r="BD227" s="49">
        <v>0</v>
      </c>
      <c r="BE227" s="50">
        <v>0</v>
      </c>
      <c r="BF227" s="49">
        <v>0</v>
      </c>
      <c r="BG227" s="50">
        <v>0</v>
      </c>
      <c r="BH227" s="49">
        <v>34</v>
      </c>
      <c r="BI227" s="50">
        <v>100</v>
      </c>
      <c r="BJ227" s="49">
        <v>34</v>
      </c>
      <c r="BK227" s="49" t="s">
        <v>686</v>
      </c>
      <c r="BL227" s="49" t="s">
        <v>686</v>
      </c>
      <c r="BM227" s="49" t="s">
        <v>705</v>
      </c>
      <c r="BN227" s="49" t="s">
        <v>705</v>
      </c>
      <c r="BO227" s="49" t="s">
        <v>715</v>
      </c>
      <c r="BP227" s="49" t="s">
        <v>5534</v>
      </c>
      <c r="BQ227" s="123" t="s">
        <v>5626</v>
      </c>
      <c r="BR227" s="123" t="s">
        <v>5680</v>
      </c>
      <c r="BS227" s="123" t="s">
        <v>5776</v>
      </c>
      <c r="BT227" s="123" t="s">
        <v>5776</v>
      </c>
      <c r="BU227" s="2"/>
      <c r="BV227" s="3"/>
      <c r="BW227" s="3"/>
      <c r="BX227" s="3"/>
      <c r="BY227" s="3"/>
    </row>
    <row r="228" spans="1:77" ht="15">
      <c r="A228" s="65" t="s">
        <v>481</v>
      </c>
      <c r="B228" s="66"/>
      <c r="C228" s="66" t="s">
        <v>46</v>
      </c>
      <c r="D228" s="67">
        <v>10</v>
      </c>
      <c r="E228" s="69"/>
      <c r="F228" s="111" t="str">
        <f>HYPERLINK("https://pbs.twimg.com/profile_images/1457431066294341634/JtA2h_wN_normal.jpg")</f>
        <v>https://pbs.twimg.com/profile_images/1457431066294341634/JtA2h_wN_normal.jpg</v>
      </c>
      <c r="G228" s="66"/>
      <c r="H228" s="70" t="s">
        <v>481</v>
      </c>
      <c r="I228" s="71" t="s">
        <v>5834</v>
      </c>
      <c r="J228" s="71" t="s">
        <v>75</v>
      </c>
      <c r="K228" s="70" t="s">
        <v>2525</v>
      </c>
      <c r="L228" s="74">
        <v>477.0952380952381</v>
      </c>
      <c r="M228" s="75">
        <v>4161.64111328125</v>
      </c>
      <c r="N228" s="75">
        <v>252.76747131347656</v>
      </c>
      <c r="O228" s="76"/>
      <c r="P228" s="77"/>
      <c r="Q228" s="77"/>
      <c r="R228" s="104"/>
      <c r="S228" s="49">
        <v>1</v>
      </c>
      <c r="T228" s="49">
        <v>0</v>
      </c>
      <c r="U228" s="50">
        <v>0</v>
      </c>
      <c r="V228" s="50">
        <v>0.000737</v>
      </c>
      <c r="W228" s="50">
        <v>0.002528</v>
      </c>
      <c r="X228" s="50">
        <v>0.370129</v>
      </c>
      <c r="Y228" s="50">
        <v>0</v>
      </c>
      <c r="Z228" s="50">
        <v>0</v>
      </c>
      <c r="AA228" s="72">
        <v>228</v>
      </c>
      <c r="AB228" s="72"/>
      <c r="AC228" s="73"/>
      <c r="AD228" s="89" t="s">
        <v>1699</v>
      </c>
      <c r="AE228" s="102" t="s">
        <v>1917</v>
      </c>
      <c r="AF228" s="89">
        <v>15970</v>
      </c>
      <c r="AG228" s="89">
        <v>14565</v>
      </c>
      <c r="AH228" s="89">
        <v>236499</v>
      </c>
      <c r="AI228" s="89">
        <v>218685</v>
      </c>
      <c r="AJ228" s="89"/>
      <c r="AK228" s="89" t="s">
        <v>2150</v>
      </c>
      <c r="AL228" s="89" t="s">
        <v>2282</v>
      </c>
      <c r="AM228" s="89"/>
      <c r="AN228" s="89"/>
      <c r="AO228" s="92">
        <v>41476.73409722222</v>
      </c>
      <c r="AP228" s="95" t="str">
        <f>HYPERLINK("https://pbs.twimg.com/profile_banners/1610983362/1534061130")</f>
        <v>https://pbs.twimg.com/profile_banners/1610983362/1534061130</v>
      </c>
      <c r="AQ228" s="89" t="b">
        <v>0</v>
      </c>
      <c r="AR228" s="89" t="b">
        <v>0</v>
      </c>
      <c r="AS228" s="89" t="b">
        <v>0</v>
      </c>
      <c r="AT228" s="89"/>
      <c r="AU228" s="89">
        <v>241</v>
      </c>
      <c r="AV228" s="95" t="str">
        <f>HYPERLINK("https://abs.twimg.com/images/themes/theme10/bg.gif")</f>
        <v>https://abs.twimg.com/images/themes/theme10/bg.gif</v>
      </c>
      <c r="AW228" s="89" t="b">
        <v>0</v>
      </c>
      <c r="AX228" s="89" t="s">
        <v>2300</v>
      </c>
      <c r="AY228" s="95" t="str">
        <f>HYPERLINK("https://twitter.com/maaninkavaara")</f>
        <v>https://twitter.com/maaninkavaara</v>
      </c>
      <c r="AZ228" s="89" t="s">
        <v>65</v>
      </c>
      <c r="BA228" s="89"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5" t="s">
        <v>482</v>
      </c>
      <c r="B229" s="66"/>
      <c r="C229" s="66" t="s">
        <v>46</v>
      </c>
      <c r="D229" s="67">
        <v>10</v>
      </c>
      <c r="E229" s="69"/>
      <c r="F229" s="111" t="str">
        <f>HYPERLINK("https://pbs.twimg.com/profile_images/1184515039006511104/9BjnWO7g_normal.jpg")</f>
        <v>https://pbs.twimg.com/profile_images/1184515039006511104/9BjnWO7g_normal.jpg</v>
      </c>
      <c r="G229" s="66"/>
      <c r="H229" s="70" t="s">
        <v>482</v>
      </c>
      <c r="I229" s="71" t="s">
        <v>5834</v>
      </c>
      <c r="J229" s="71" t="s">
        <v>75</v>
      </c>
      <c r="K229" s="70" t="s">
        <v>2526</v>
      </c>
      <c r="L229" s="74">
        <v>477.0952380952381</v>
      </c>
      <c r="M229" s="75">
        <v>3982.01171875</v>
      </c>
      <c r="N229" s="75">
        <v>234.16932678222656</v>
      </c>
      <c r="O229" s="76"/>
      <c r="P229" s="77"/>
      <c r="Q229" s="77"/>
      <c r="R229" s="104"/>
      <c r="S229" s="49">
        <v>1</v>
      </c>
      <c r="T229" s="49">
        <v>0</v>
      </c>
      <c r="U229" s="50">
        <v>0</v>
      </c>
      <c r="V229" s="50">
        <v>0.000737</v>
      </c>
      <c r="W229" s="50">
        <v>0.002528</v>
      </c>
      <c r="X229" s="50">
        <v>0.370129</v>
      </c>
      <c r="Y229" s="50">
        <v>0</v>
      </c>
      <c r="Z229" s="50">
        <v>0</v>
      </c>
      <c r="AA229" s="72">
        <v>229</v>
      </c>
      <c r="AB229" s="72"/>
      <c r="AC229" s="73"/>
      <c r="AD229" s="89" t="s">
        <v>1700</v>
      </c>
      <c r="AE229" s="102" t="s">
        <v>1411</v>
      </c>
      <c r="AF229" s="89">
        <v>8589</v>
      </c>
      <c r="AG229" s="89">
        <v>7813</v>
      </c>
      <c r="AH229" s="89">
        <v>8151</v>
      </c>
      <c r="AI229" s="89">
        <v>3183</v>
      </c>
      <c r="AJ229" s="89"/>
      <c r="AK229" s="89" t="s">
        <v>2151</v>
      </c>
      <c r="AL229" s="89"/>
      <c r="AM229" s="89"/>
      <c r="AN229" s="89"/>
      <c r="AO229" s="92">
        <v>40623.4793287037</v>
      </c>
      <c r="AP229" s="95" t="str">
        <f>HYPERLINK("https://pbs.twimg.com/profile_banners/269749934/1613140766")</f>
        <v>https://pbs.twimg.com/profile_banners/269749934/1613140766</v>
      </c>
      <c r="AQ229" s="89" t="b">
        <v>0</v>
      </c>
      <c r="AR229" s="89" t="b">
        <v>0</v>
      </c>
      <c r="AS229" s="89" t="b">
        <v>1</v>
      </c>
      <c r="AT229" s="89"/>
      <c r="AU229" s="89">
        <v>30</v>
      </c>
      <c r="AV229" s="95" t="str">
        <f>HYPERLINK("https://abs.twimg.com/images/themes/theme1/bg.png")</f>
        <v>https://abs.twimg.com/images/themes/theme1/bg.png</v>
      </c>
      <c r="AW229" s="89" t="b">
        <v>0</v>
      </c>
      <c r="AX229" s="89" t="s">
        <v>2300</v>
      </c>
      <c r="AY229" s="95" t="str">
        <f>HYPERLINK("https://twitter.com/markussovala")</f>
        <v>https://twitter.com/markussovala</v>
      </c>
      <c r="AZ229" s="89" t="s">
        <v>65</v>
      </c>
      <c r="BA229" s="89"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5" t="s">
        <v>336</v>
      </c>
      <c r="B230" s="66"/>
      <c r="C230" s="66" t="s">
        <v>46</v>
      </c>
      <c r="D230" s="67"/>
      <c r="E230" s="69"/>
      <c r="F230" s="111" t="str">
        <f>HYPERLINK("https://pbs.twimg.com/profile_images/1404842253508661253/_5HmNERE_normal.jpg")</f>
        <v>https://pbs.twimg.com/profile_images/1404842253508661253/_5HmNERE_normal.jpg</v>
      </c>
      <c r="G230" s="66"/>
      <c r="H230" s="70" t="s">
        <v>336</v>
      </c>
      <c r="I230" s="71" t="s">
        <v>5821</v>
      </c>
      <c r="J230" s="71" t="s">
        <v>73</v>
      </c>
      <c r="K230" s="70" t="s">
        <v>2527</v>
      </c>
      <c r="L230" s="74">
        <v>1</v>
      </c>
      <c r="M230" s="75">
        <v>1294.40087890625</v>
      </c>
      <c r="N230" s="75">
        <v>1560.2528076171875</v>
      </c>
      <c r="O230" s="76"/>
      <c r="P230" s="77"/>
      <c r="Q230" s="77"/>
      <c r="R230" s="104"/>
      <c r="S230" s="49">
        <v>0</v>
      </c>
      <c r="T230" s="49">
        <v>3</v>
      </c>
      <c r="U230" s="50">
        <v>488.095238</v>
      </c>
      <c r="V230" s="50">
        <v>0.00089</v>
      </c>
      <c r="W230" s="50">
        <v>0.001022</v>
      </c>
      <c r="X230" s="50">
        <v>0.876962</v>
      </c>
      <c r="Y230" s="50">
        <v>0</v>
      </c>
      <c r="Z230" s="50">
        <v>0</v>
      </c>
      <c r="AA230" s="72">
        <v>230</v>
      </c>
      <c r="AB230" s="72"/>
      <c r="AC230" s="73"/>
      <c r="AD230" s="89" t="s">
        <v>1701</v>
      </c>
      <c r="AE230" s="102" t="s">
        <v>1918</v>
      </c>
      <c r="AF230" s="89">
        <v>677</v>
      </c>
      <c r="AG230" s="89">
        <v>1020</v>
      </c>
      <c r="AH230" s="89">
        <v>9040</v>
      </c>
      <c r="AI230" s="89">
        <v>11938</v>
      </c>
      <c r="AJ230" s="89"/>
      <c r="AK230" s="89" t="s">
        <v>2152</v>
      </c>
      <c r="AL230" s="89" t="s">
        <v>2231</v>
      </c>
      <c r="AM230" s="95" t="str">
        <f>HYPERLINK("https://t.co/b4x6q7ogBo")</f>
        <v>https://t.co/b4x6q7ogBo</v>
      </c>
      <c r="AN230" s="89"/>
      <c r="AO230" s="92">
        <v>40008.81565972222</v>
      </c>
      <c r="AP230" s="95" t="str">
        <f>HYPERLINK("https://pbs.twimg.com/profile_banners/56791085/1614594437")</f>
        <v>https://pbs.twimg.com/profile_banners/56791085/1614594437</v>
      </c>
      <c r="AQ230" s="89" t="b">
        <v>0</v>
      </c>
      <c r="AR230" s="89" t="b">
        <v>0</v>
      </c>
      <c r="AS230" s="89" t="b">
        <v>1</v>
      </c>
      <c r="AT230" s="89"/>
      <c r="AU230" s="89">
        <v>13</v>
      </c>
      <c r="AV230" s="95" t="str">
        <f>HYPERLINK("https://abs.twimg.com/images/themes/theme1/bg.png")</f>
        <v>https://abs.twimg.com/images/themes/theme1/bg.png</v>
      </c>
      <c r="AW230" s="89" t="b">
        <v>0</v>
      </c>
      <c r="AX230" s="89" t="s">
        <v>2300</v>
      </c>
      <c r="AY230" s="95" t="str">
        <f>HYPERLINK("https://twitter.com/vainikainen")</f>
        <v>https://twitter.com/vainikainen</v>
      </c>
      <c r="AZ230" s="89" t="s">
        <v>66</v>
      </c>
      <c r="BA230" s="89" t="str">
        <f>REPLACE(INDEX(GroupVertices[Group],MATCH(Vertices[[#This Row],[Vertex]],GroupVertices[Vertex],0)),1,1,"")</f>
        <v>2</v>
      </c>
      <c r="BB230" s="49">
        <v>0</v>
      </c>
      <c r="BC230" s="50">
        <v>0</v>
      </c>
      <c r="BD230" s="49">
        <v>0</v>
      </c>
      <c r="BE230" s="50">
        <v>0</v>
      </c>
      <c r="BF230" s="49">
        <v>0</v>
      </c>
      <c r="BG230" s="50">
        <v>0</v>
      </c>
      <c r="BH230" s="49">
        <v>20</v>
      </c>
      <c r="BI230" s="50">
        <v>100</v>
      </c>
      <c r="BJ230" s="49">
        <v>20</v>
      </c>
      <c r="BK230" s="49"/>
      <c r="BL230" s="49"/>
      <c r="BM230" s="49"/>
      <c r="BN230" s="49"/>
      <c r="BO230" s="49"/>
      <c r="BP230" s="49"/>
      <c r="BQ230" s="123" t="s">
        <v>5627</v>
      </c>
      <c r="BR230" s="123" t="s">
        <v>5627</v>
      </c>
      <c r="BS230" s="123" t="s">
        <v>5777</v>
      </c>
      <c r="BT230" s="123" t="s">
        <v>5777</v>
      </c>
      <c r="BU230" s="2"/>
      <c r="BV230" s="3"/>
      <c r="BW230" s="3"/>
      <c r="BX230" s="3"/>
      <c r="BY230" s="3"/>
    </row>
    <row r="231" spans="1:77" ht="15">
      <c r="A231" s="65" t="s">
        <v>483</v>
      </c>
      <c r="B231" s="66"/>
      <c r="C231" s="66" t="s">
        <v>46</v>
      </c>
      <c r="D231" s="67">
        <v>10</v>
      </c>
      <c r="E231" s="69"/>
      <c r="F231" s="111" t="str">
        <f>HYPERLINK("https://pbs.twimg.com/profile_images/725439295855583233/IpSEoRAd_normal.jpg")</f>
        <v>https://pbs.twimg.com/profile_images/725439295855583233/IpSEoRAd_normal.jpg</v>
      </c>
      <c r="G231" s="66"/>
      <c r="H231" s="70" t="s">
        <v>483</v>
      </c>
      <c r="I231" s="71" t="s">
        <v>5821</v>
      </c>
      <c r="J231" s="71" t="s">
        <v>75</v>
      </c>
      <c r="K231" s="70" t="s">
        <v>2528</v>
      </c>
      <c r="L231" s="74">
        <v>477.0952380952381</v>
      </c>
      <c r="M231" s="75">
        <v>955.6495361328125</v>
      </c>
      <c r="N231" s="75">
        <v>729.5379638671875</v>
      </c>
      <c r="O231" s="76"/>
      <c r="P231" s="77"/>
      <c r="Q231" s="77"/>
      <c r="R231" s="104"/>
      <c r="S231" s="49">
        <v>1</v>
      </c>
      <c r="T231" s="49">
        <v>0</v>
      </c>
      <c r="U231" s="50">
        <v>0</v>
      </c>
      <c r="V231" s="50">
        <v>0.000732</v>
      </c>
      <c r="W231" s="50">
        <v>0.000119</v>
      </c>
      <c r="X231" s="50">
        <v>0.398473</v>
      </c>
      <c r="Y231" s="50">
        <v>0</v>
      </c>
      <c r="Z231" s="50">
        <v>0</v>
      </c>
      <c r="AA231" s="72">
        <v>231</v>
      </c>
      <c r="AB231" s="72"/>
      <c r="AC231" s="73"/>
      <c r="AD231" s="89" t="s">
        <v>1702</v>
      </c>
      <c r="AE231" s="102" t="s">
        <v>1919</v>
      </c>
      <c r="AF231" s="89">
        <v>2370</v>
      </c>
      <c r="AG231" s="89">
        <v>1679</v>
      </c>
      <c r="AH231" s="89">
        <v>24198</v>
      </c>
      <c r="AI231" s="89">
        <v>12232</v>
      </c>
      <c r="AJ231" s="89"/>
      <c r="AK231" s="89" t="s">
        <v>2153</v>
      </c>
      <c r="AL231" s="89" t="s">
        <v>2283</v>
      </c>
      <c r="AM231" s="95" t="str">
        <f>HYPERLINK("https://t.co/LWLojvIMTr")</f>
        <v>https://t.co/LWLojvIMTr</v>
      </c>
      <c r="AN231" s="89"/>
      <c r="AO231" s="92">
        <v>41343.84444444445</v>
      </c>
      <c r="AP231" s="95" t="str">
        <f>HYPERLINK("https://pbs.twimg.com/profile_banners/1257875575/1522686796")</f>
        <v>https://pbs.twimg.com/profile_banners/1257875575/1522686796</v>
      </c>
      <c r="AQ231" s="89" t="b">
        <v>0</v>
      </c>
      <c r="AR231" s="89" t="b">
        <v>0</v>
      </c>
      <c r="AS231" s="89" t="b">
        <v>0</v>
      </c>
      <c r="AT231" s="89"/>
      <c r="AU231" s="89">
        <v>59</v>
      </c>
      <c r="AV231" s="95" t="str">
        <f>HYPERLINK("https://abs.twimg.com/images/themes/theme1/bg.png")</f>
        <v>https://abs.twimg.com/images/themes/theme1/bg.png</v>
      </c>
      <c r="AW231" s="89" t="b">
        <v>0</v>
      </c>
      <c r="AX231" s="89" t="s">
        <v>2300</v>
      </c>
      <c r="AY231" s="95" t="str">
        <f>HYPERLINK("https://twitter.com/kreetalainen")</f>
        <v>https://twitter.com/kreetalainen</v>
      </c>
      <c r="AZ231" s="89" t="s">
        <v>65</v>
      </c>
      <c r="BA231" s="89" t="str">
        <f>REPLACE(INDEX(GroupVertices[Group],MATCH(Vertices[[#This Row],[Vertex]],GroupVertices[Vertex],0)),1,1,"")</f>
        <v>2</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5" t="s">
        <v>337</v>
      </c>
      <c r="B232" s="66"/>
      <c r="C232" s="66" t="s">
        <v>46</v>
      </c>
      <c r="D232" s="67"/>
      <c r="E232" s="69"/>
      <c r="F232" s="111" t="str">
        <f>HYPERLINK("https://pbs.twimg.com/profile_images/1185459634817122304/VgFrM8BT_normal.jpg")</f>
        <v>https://pbs.twimg.com/profile_images/1185459634817122304/VgFrM8BT_normal.jpg</v>
      </c>
      <c r="G232" s="66"/>
      <c r="H232" s="70" t="s">
        <v>337</v>
      </c>
      <c r="I232" s="71" t="s">
        <v>5821</v>
      </c>
      <c r="J232" s="71" t="s">
        <v>73</v>
      </c>
      <c r="K232" s="70" t="s">
        <v>2529</v>
      </c>
      <c r="L232" s="74">
        <v>1</v>
      </c>
      <c r="M232" s="75">
        <v>1684.3934326171875</v>
      </c>
      <c r="N232" s="75">
        <v>1732.630615234375</v>
      </c>
      <c r="O232" s="76"/>
      <c r="P232" s="77"/>
      <c r="Q232" s="77"/>
      <c r="R232" s="104"/>
      <c r="S232" s="49">
        <v>0</v>
      </c>
      <c r="T232" s="49">
        <v>3</v>
      </c>
      <c r="U232" s="50">
        <v>0.095238</v>
      </c>
      <c r="V232" s="50">
        <v>0.00089</v>
      </c>
      <c r="W232" s="50">
        <v>0.001362</v>
      </c>
      <c r="X232" s="50">
        <v>0.726222</v>
      </c>
      <c r="Y232" s="50">
        <v>0.3333333333333333</v>
      </c>
      <c r="Z232" s="50">
        <v>0</v>
      </c>
      <c r="AA232" s="72">
        <v>232</v>
      </c>
      <c r="AB232" s="72"/>
      <c r="AC232" s="73"/>
      <c r="AD232" s="89" t="s">
        <v>1703</v>
      </c>
      <c r="AE232" s="102" t="s">
        <v>1920</v>
      </c>
      <c r="AF232" s="89">
        <v>246</v>
      </c>
      <c r="AG232" s="89">
        <v>282</v>
      </c>
      <c r="AH232" s="89">
        <v>27996</v>
      </c>
      <c r="AI232" s="89">
        <v>9236</v>
      </c>
      <c r="AJ232" s="89"/>
      <c r="AK232" s="89" t="s">
        <v>2154</v>
      </c>
      <c r="AL232" s="89" t="s">
        <v>2284</v>
      </c>
      <c r="AM232" s="89"/>
      <c r="AN232" s="89"/>
      <c r="AO232" s="92">
        <v>39897.504224537035</v>
      </c>
      <c r="AP232" s="95" t="str">
        <f>HYPERLINK("https://pbs.twimg.com/profile_banners/26481552/1637245696")</f>
        <v>https://pbs.twimg.com/profile_banners/26481552/1637245696</v>
      </c>
      <c r="AQ232" s="89" t="b">
        <v>1</v>
      </c>
      <c r="AR232" s="89" t="b">
        <v>0</v>
      </c>
      <c r="AS232" s="89" t="b">
        <v>0</v>
      </c>
      <c r="AT232" s="89"/>
      <c r="AU232" s="89">
        <v>16</v>
      </c>
      <c r="AV232" s="95" t="str">
        <f>HYPERLINK("https://abs.twimg.com/images/themes/theme1/bg.png")</f>
        <v>https://abs.twimg.com/images/themes/theme1/bg.png</v>
      </c>
      <c r="AW232" s="89" t="b">
        <v>0</v>
      </c>
      <c r="AX232" s="89" t="s">
        <v>2300</v>
      </c>
      <c r="AY232" s="95" t="str">
        <f>HYPERLINK("https://twitter.com/jammusaloniemi")</f>
        <v>https://twitter.com/jammusaloniemi</v>
      </c>
      <c r="AZ232" s="89" t="s">
        <v>66</v>
      </c>
      <c r="BA232" s="89" t="str">
        <f>REPLACE(INDEX(GroupVertices[Group],MATCH(Vertices[[#This Row],[Vertex]],GroupVertices[Vertex],0)),1,1,"")</f>
        <v>2</v>
      </c>
      <c r="BB232" s="49">
        <v>0</v>
      </c>
      <c r="BC232" s="50">
        <v>0</v>
      </c>
      <c r="BD232" s="49">
        <v>0</v>
      </c>
      <c r="BE232" s="50">
        <v>0</v>
      </c>
      <c r="BF232" s="49">
        <v>0</v>
      </c>
      <c r="BG232" s="50">
        <v>0</v>
      </c>
      <c r="BH232" s="49">
        <v>16</v>
      </c>
      <c r="BI232" s="50">
        <v>100</v>
      </c>
      <c r="BJ232" s="49">
        <v>16</v>
      </c>
      <c r="BK232" s="49"/>
      <c r="BL232" s="49"/>
      <c r="BM232" s="49"/>
      <c r="BN232" s="49"/>
      <c r="BO232" s="49"/>
      <c r="BP232" s="49"/>
      <c r="BQ232" s="123" t="s">
        <v>5628</v>
      </c>
      <c r="BR232" s="123" t="s">
        <v>5628</v>
      </c>
      <c r="BS232" s="123" t="s">
        <v>5778</v>
      </c>
      <c r="BT232" s="123" t="s">
        <v>5778</v>
      </c>
      <c r="BU232" s="2"/>
      <c r="BV232" s="3"/>
      <c r="BW232" s="3"/>
      <c r="BX232" s="3"/>
      <c r="BY232" s="3"/>
    </row>
    <row r="233" spans="1:77" ht="15">
      <c r="A233" s="65" t="s">
        <v>339</v>
      </c>
      <c r="B233" s="66"/>
      <c r="C233" s="66" t="s">
        <v>46</v>
      </c>
      <c r="D233" s="67"/>
      <c r="E233" s="69"/>
      <c r="F233" s="111" t="str">
        <f>HYPERLINK("https://pbs.twimg.com/profile_images/1156538055718854656/a6P2yJEX_normal.jpg")</f>
        <v>https://pbs.twimg.com/profile_images/1156538055718854656/a6P2yJEX_normal.jpg</v>
      </c>
      <c r="G233" s="66"/>
      <c r="H233" s="70" t="s">
        <v>339</v>
      </c>
      <c r="I233" s="71" t="s">
        <v>5836</v>
      </c>
      <c r="J233" s="71" t="s">
        <v>73</v>
      </c>
      <c r="K233" s="70" t="s">
        <v>2530</v>
      </c>
      <c r="L233" s="74">
        <v>1</v>
      </c>
      <c r="M233" s="75">
        <v>9633.3447265625</v>
      </c>
      <c r="N233" s="75">
        <v>2827.586181640625</v>
      </c>
      <c r="O233" s="76"/>
      <c r="P233" s="77"/>
      <c r="Q233" s="77"/>
      <c r="R233" s="104"/>
      <c r="S233" s="49">
        <v>0</v>
      </c>
      <c r="T233" s="49">
        <v>1</v>
      </c>
      <c r="U233" s="50">
        <v>0</v>
      </c>
      <c r="V233" s="50">
        <v>1</v>
      </c>
      <c r="W233" s="50">
        <v>0</v>
      </c>
      <c r="X233" s="50">
        <v>0.999998</v>
      </c>
      <c r="Y233" s="50">
        <v>0</v>
      </c>
      <c r="Z233" s="50">
        <v>0</v>
      </c>
      <c r="AA233" s="72">
        <v>233</v>
      </c>
      <c r="AB233" s="72"/>
      <c r="AC233" s="73"/>
      <c r="AD233" s="89" t="s">
        <v>1704</v>
      </c>
      <c r="AE233" s="102" t="s">
        <v>1921</v>
      </c>
      <c r="AF233" s="89">
        <v>134</v>
      </c>
      <c r="AG233" s="89">
        <v>111</v>
      </c>
      <c r="AH233" s="89">
        <v>2432</v>
      </c>
      <c r="AI233" s="89">
        <v>12671</v>
      </c>
      <c r="AJ233" s="89"/>
      <c r="AK233" s="89"/>
      <c r="AL233" s="89" t="s">
        <v>2221</v>
      </c>
      <c r="AM233" s="89"/>
      <c r="AN233" s="89"/>
      <c r="AO233" s="92">
        <v>43477.04136574074</v>
      </c>
      <c r="AP233" s="95" t="str">
        <f>HYPERLINK("https://pbs.twimg.com/profile_banners/1083891201319817221/1634856160")</f>
        <v>https://pbs.twimg.com/profile_banners/1083891201319817221/1634856160</v>
      </c>
      <c r="AQ233" s="89" t="b">
        <v>1</v>
      </c>
      <c r="AR233" s="89" t="b">
        <v>0</v>
      </c>
      <c r="AS233" s="89" t="b">
        <v>0</v>
      </c>
      <c r="AT233" s="89"/>
      <c r="AU233" s="89">
        <v>1</v>
      </c>
      <c r="AV233" s="89"/>
      <c r="AW233" s="89" t="b">
        <v>0</v>
      </c>
      <c r="AX233" s="89" t="s">
        <v>2300</v>
      </c>
      <c r="AY233" s="95" t="str">
        <f>HYPERLINK("https://twitter.com/paullindema")</f>
        <v>https://twitter.com/paullindema</v>
      </c>
      <c r="AZ233" s="89" t="s">
        <v>66</v>
      </c>
      <c r="BA233" s="89" t="str">
        <f>REPLACE(INDEX(GroupVertices[Group],MATCH(Vertices[[#This Row],[Vertex]],GroupVertices[Vertex],0)),1,1,"")</f>
        <v>22</v>
      </c>
      <c r="BB233" s="49">
        <v>0</v>
      </c>
      <c r="BC233" s="50">
        <v>0</v>
      </c>
      <c r="BD233" s="49">
        <v>0</v>
      </c>
      <c r="BE233" s="50">
        <v>0</v>
      </c>
      <c r="BF233" s="49">
        <v>0</v>
      </c>
      <c r="BG233" s="50">
        <v>0</v>
      </c>
      <c r="BH233" s="49">
        <v>17</v>
      </c>
      <c r="BI233" s="50">
        <v>100</v>
      </c>
      <c r="BJ233" s="49">
        <v>17</v>
      </c>
      <c r="BK233" s="49"/>
      <c r="BL233" s="49"/>
      <c r="BM233" s="49"/>
      <c r="BN233" s="49"/>
      <c r="BO233" s="49"/>
      <c r="BP233" s="49"/>
      <c r="BQ233" s="123" t="s">
        <v>5629</v>
      </c>
      <c r="BR233" s="123" t="s">
        <v>5629</v>
      </c>
      <c r="BS233" s="123" t="s">
        <v>5779</v>
      </c>
      <c r="BT233" s="123" t="s">
        <v>5779</v>
      </c>
      <c r="BU233" s="2"/>
      <c r="BV233" s="3"/>
      <c r="BW233" s="3"/>
      <c r="BX233" s="3"/>
      <c r="BY233" s="3"/>
    </row>
    <row r="234" spans="1:77" ht="15">
      <c r="A234" s="65" t="s">
        <v>484</v>
      </c>
      <c r="B234" s="66"/>
      <c r="C234" s="66" t="s">
        <v>46</v>
      </c>
      <c r="D234" s="67">
        <v>10</v>
      </c>
      <c r="E234" s="69"/>
      <c r="F234" s="111" t="str">
        <f>HYPERLINK("https://pbs.twimg.com/profile_images/1445106479778959371/ddaiz5Om_normal.jpg")</f>
        <v>https://pbs.twimg.com/profile_images/1445106479778959371/ddaiz5Om_normal.jpg</v>
      </c>
      <c r="G234" s="66"/>
      <c r="H234" s="70" t="s">
        <v>484</v>
      </c>
      <c r="I234" s="71" t="s">
        <v>5836</v>
      </c>
      <c r="J234" s="71" t="s">
        <v>75</v>
      </c>
      <c r="K234" s="70" t="s">
        <v>2531</v>
      </c>
      <c r="L234" s="74">
        <v>477.0952380952381</v>
      </c>
      <c r="M234" s="75">
        <v>9633.3447265625</v>
      </c>
      <c r="N234" s="75">
        <v>2394.3740234375</v>
      </c>
      <c r="O234" s="76"/>
      <c r="P234" s="77"/>
      <c r="Q234" s="77"/>
      <c r="R234" s="104"/>
      <c r="S234" s="49">
        <v>1</v>
      </c>
      <c r="T234" s="49">
        <v>0</v>
      </c>
      <c r="U234" s="50">
        <v>0</v>
      </c>
      <c r="V234" s="50">
        <v>1</v>
      </c>
      <c r="W234" s="50">
        <v>0</v>
      </c>
      <c r="X234" s="50">
        <v>0.999998</v>
      </c>
      <c r="Y234" s="50">
        <v>0</v>
      </c>
      <c r="Z234" s="50">
        <v>0</v>
      </c>
      <c r="AA234" s="72">
        <v>234</v>
      </c>
      <c r="AB234" s="72"/>
      <c r="AC234" s="73"/>
      <c r="AD234" s="89" t="s">
        <v>1705</v>
      </c>
      <c r="AE234" s="102" t="s">
        <v>1412</v>
      </c>
      <c r="AF234" s="89">
        <v>271</v>
      </c>
      <c r="AG234" s="89">
        <v>390</v>
      </c>
      <c r="AH234" s="89">
        <v>2029</v>
      </c>
      <c r="AI234" s="89">
        <v>3687</v>
      </c>
      <c r="AJ234" s="89"/>
      <c r="AK234" s="89" t="s">
        <v>2155</v>
      </c>
      <c r="AL234" s="89" t="s">
        <v>2285</v>
      </c>
      <c r="AM234" s="89"/>
      <c r="AN234" s="89"/>
      <c r="AO234" s="92">
        <v>44242.92197916667</v>
      </c>
      <c r="AP234" s="95" t="str">
        <f>HYPERLINK("https://pbs.twimg.com/profile_banners/1361436878285725696/1633375271")</f>
        <v>https://pbs.twimg.com/profile_banners/1361436878285725696/1633375271</v>
      </c>
      <c r="AQ234" s="89" t="b">
        <v>1</v>
      </c>
      <c r="AR234" s="89" t="b">
        <v>0</v>
      </c>
      <c r="AS234" s="89" t="b">
        <v>0</v>
      </c>
      <c r="AT234" s="89"/>
      <c r="AU234" s="89">
        <v>0</v>
      </c>
      <c r="AV234" s="89"/>
      <c r="AW234" s="89" t="b">
        <v>0</v>
      </c>
      <c r="AX234" s="89" t="s">
        <v>2300</v>
      </c>
      <c r="AY234" s="95" t="str">
        <f>HYPERLINK("https://twitter.com/maria33385")</f>
        <v>https://twitter.com/maria33385</v>
      </c>
      <c r="AZ234" s="89" t="s">
        <v>65</v>
      </c>
      <c r="BA234" s="89" t="str">
        <f>REPLACE(INDEX(GroupVertices[Group],MATCH(Vertices[[#This Row],[Vertex]],GroupVertices[Vertex],0)),1,1,"")</f>
        <v>22</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5" t="s">
        <v>340</v>
      </c>
      <c r="B235" s="66"/>
      <c r="C235" s="66" t="s">
        <v>46</v>
      </c>
      <c r="D235" s="67"/>
      <c r="E235" s="69"/>
      <c r="F235" s="111" t="str">
        <f>HYPERLINK("https://pbs.twimg.com/profile_images/1361918914171711489/N_BsshoV_normal.jpg")</f>
        <v>https://pbs.twimg.com/profile_images/1361918914171711489/N_BsshoV_normal.jpg</v>
      </c>
      <c r="G235" s="66"/>
      <c r="H235" s="70" t="s">
        <v>340</v>
      </c>
      <c r="I235" s="71" t="s">
        <v>5838</v>
      </c>
      <c r="J235" s="71" t="s">
        <v>73</v>
      </c>
      <c r="K235" s="70" t="s">
        <v>2532</v>
      </c>
      <c r="L235" s="74">
        <v>1</v>
      </c>
      <c r="M235" s="75">
        <v>7738.587890625</v>
      </c>
      <c r="N235" s="75">
        <v>4086.242431640625</v>
      </c>
      <c r="O235" s="76"/>
      <c r="P235" s="77"/>
      <c r="Q235" s="77"/>
      <c r="R235" s="104"/>
      <c r="S235" s="49">
        <v>0</v>
      </c>
      <c r="T235" s="49">
        <v>3</v>
      </c>
      <c r="U235" s="50">
        <v>6</v>
      </c>
      <c r="V235" s="50">
        <v>0.333333</v>
      </c>
      <c r="W235" s="50">
        <v>0</v>
      </c>
      <c r="X235" s="50">
        <v>1.918916</v>
      </c>
      <c r="Y235" s="50">
        <v>0</v>
      </c>
      <c r="Z235" s="50">
        <v>0</v>
      </c>
      <c r="AA235" s="72">
        <v>235</v>
      </c>
      <c r="AB235" s="72"/>
      <c r="AC235" s="73"/>
      <c r="AD235" s="89" t="s">
        <v>1706</v>
      </c>
      <c r="AE235" s="102" t="s">
        <v>1922</v>
      </c>
      <c r="AF235" s="89">
        <v>8</v>
      </c>
      <c r="AG235" s="89">
        <v>0</v>
      </c>
      <c r="AH235" s="89">
        <v>57</v>
      </c>
      <c r="AI235" s="89">
        <v>39</v>
      </c>
      <c r="AJ235" s="89"/>
      <c r="AK235" s="89"/>
      <c r="AL235" s="89"/>
      <c r="AM235" s="89"/>
      <c r="AN235" s="89"/>
      <c r="AO235" s="92">
        <v>44244.25067129629</v>
      </c>
      <c r="AP235" s="89"/>
      <c r="AQ235" s="89" t="b">
        <v>1</v>
      </c>
      <c r="AR235" s="89" t="b">
        <v>0</v>
      </c>
      <c r="AS235" s="89" t="b">
        <v>0</v>
      </c>
      <c r="AT235" s="89"/>
      <c r="AU235" s="89">
        <v>0</v>
      </c>
      <c r="AV235" s="89"/>
      <c r="AW235" s="89" t="b">
        <v>0</v>
      </c>
      <c r="AX235" s="89" t="s">
        <v>2300</v>
      </c>
      <c r="AY235" s="95" t="str">
        <f>HYPERLINK("https://twitter.com/henri54106227")</f>
        <v>https://twitter.com/henri54106227</v>
      </c>
      <c r="AZ235" s="89" t="s">
        <v>66</v>
      </c>
      <c r="BA235" s="89" t="str">
        <f>REPLACE(INDEX(GroupVertices[Group],MATCH(Vertices[[#This Row],[Vertex]],GroupVertices[Vertex],0)),1,1,"")</f>
        <v>13</v>
      </c>
      <c r="BB235" s="49">
        <v>0</v>
      </c>
      <c r="BC235" s="50">
        <v>0</v>
      </c>
      <c r="BD235" s="49">
        <v>0</v>
      </c>
      <c r="BE235" s="50">
        <v>0</v>
      </c>
      <c r="BF235" s="49">
        <v>0</v>
      </c>
      <c r="BG235" s="50">
        <v>0</v>
      </c>
      <c r="BH235" s="49">
        <v>37</v>
      </c>
      <c r="BI235" s="50">
        <v>100</v>
      </c>
      <c r="BJ235" s="49">
        <v>37</v>
      </c>
      <c r="BK235" s="49"/>
      <c r="BL235" s="49"/>
      <c r="BM235" s="49"/>
      <c r="BN235" s="49"/>
      <c r="BO235" s="49"/>
      <c r="BP235" s="49"/>
      <c r="BQ235" s="123" t="s">
        <v>5630</v>
      </c>
      <c r="BR235" s="123" t="s">
        <v>5630</v>
      </c>
      <c r="BS235" s="123" t="s">
        <v>5780</v>
      </c>
      <c r="BT235" s="123" t="s">
        <v>5780</v>
      </c>
      <c r="BU235" s="2"/>
      <c r="BV235" s="3"/>
      <c r="BW235" s="3"/>
      <c r="BX235" s="3"/>
      <c r="BY235" s="3"/>
    </row>
    <row r="236" spans="1:77" ht="15">
      <c r="A236" s="65" t="s">
        <v>485</v>
      </c>
      <c r="B236" s="66"/>
      <c r="C236" s="66" t="s">
        <v>46</v>
      </c>
      <c r="D236" s="67">
        <v>10</v>
      </c>
      <c r="E236" s="69"/>
      <c r="F236" s="111" t="str">
        <f>HYPERLINK("https://pbs.twimg.com/profile_images/1464007952222855177/v2TtMSPH_normal.jpg")</f>
        <v>https://pbs.twimg.com/profile_images/1464007952222855177/v2TtMSPH_normal.jpg</v>
      </c>
      <c r="G236" s="66"/>
      <c r="H236" s="70" t="s">
        <v>485</v>
      </c>
      <c r="I236" s="71" t="s">
        <v>5838</v>
      </c>
      <c r="J236" s="71" t="s">
        <v>75</v>
      </c>
      <c r="K236" s="70" t="s">
        <v>2533</v>
      </c>
      <c r="L236" s="74">
        <v>477.0952380952381</v>
      </c>
      <c r="M236" s="75">
        <v>8164.0771484375</v>
      </c>
      <c r="N236" s="75">
        <v>4086.242431640625</v>
      </c>
      <c r="O236" s="76"/>
      <c r="P236" s="77"/>
      <c r="Q236" s="77"/>
      <c r="R236" s="104"/>
      <c r="S236" s="49">
        <v>1</v>
      </c>
      <c r="T236" s="49">
        <v>0</v>
      </c>
      <c r="U236" s="50">
        <v>0</v>
      </c>
      <c r="V236" s="50">
        <v>0.2</v>
      </c>
      <c r="W236" s="50">
        <v>0</v>
      </c>
      <c r="X236" s="50">
        <v>0.693693</v>
      </c>
      <c r="Y236" s="50">
        <v>0</v>
      </c>
      <c r="Z236" s="50">
        <v>0</v>
      </c>
      <c r="AA236" s="72">
        <v>236</v>
      </c>
      <c r="AB236" s="72"/>
      <c r="AC236" s="73"/>
      <c r="AD236" s="89" t="s">
        <v>1707</v>
      </c>
      <c r="AE236" s="102" t="s">
        <v>1923</v>
      </c>
      <c r="AF236" s="89">
        <v>6131</v>
      </c>
      <c r="AG236" s="89">
        <v>247209</v>
      </c>
      <c r="AH236" s="89">
        <v>94033</v>
      </c>
      <c r="AI236" s="89">
        <v>70486</v>
      </c>
      <c r="AJ236" s="89"/>
      <c r="AK236" s="89" t="s">
        <v>2156</v>
      </c>
      <c r="AL236" s="89" t="s">
        <v>2286</v>
      </c>
      <c r="AM236" s="95" t="str">
        <f>HYPERLINK("https://t.co/gekUDTcZfg")</f>
        <v>https://t.co/gekUDTcZfg</v>
      </c>
      <c r="AN236" s="89"/>
      <c r="AO236" s="92">
        <v>40871.5168287037</v>
      </c>
      <c r="AP236" s="95" t="str">
        <f>HYPERLINK("https://pbs.twimg.com/profile_banners/420281182/1490720839")</f>
        <v>https://pbs.twimg.com/profile_banners/420281182/1490720839</v>
      </c>
      <c r="AQ236" s="89" t="b">
        <v>0</v>
      </c>
      <c r="AR236" s="89" t="b">
        <v>0</v>
      </c>
      <c r="AS236" s="89" t="b">
        <v>1</v>
      </c>
      <c r="AT236" s="89"/>
      <c r="AU236" s="89">
        <v>337</v>
      </c>
      <c r="AV236" s="95" t="str">
        <f>HYPERLINK("https://abs.twimg.com/images/themes/theme1/bg.png")</f>
        <v>https://abs.twimg.com/images/themes/theme1/bg.png</v>
      </c>
      <c r="AW236" s="89" t="b">
        <v>0</v>
      </c>
      <c r="AX236" s="89" t="s">
        <v>2300</v>
      </c>
      <c r="AY236" s="95" t="str">
        <f>HYPERLINK("https://twitter.com/tuomasenbuske")</f>
        <v>https://twitter.com/tuomasenbuske</v>
      </c>
      <c r="AZ236" s="89" t="s">
        <v>65</v>
      </c>
      <c r="BA236" s="89" t="str">
        <f>REPLACE(INDEX(GroupVertices[Group],MATCH(Vertices[[#This Row],[Vertex]],GroupVertices[Vertex],0)),1,1,"")</f>
        <v>13</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5" t="s">
        <v>486</v>
      </c>
      <c r="B237" s="66"/>
      <c r="C237" s="66" t="s">
        <v>46</v>
      </c>
      <c r="D237" s="67">
        <v>10</v>
      </c>
      <c r="E237" s="69"/>
      <c r="F237" s="111" t="str">
        <f>HYPERLINK("https://pbs.twimg.com/profile_images/1465640557187944455/BbmoTCk9_normal.jpg")</f>
        <v>https://pbs.twimg.com/profile_images/1465640557187944455/BbmoTCk9_normal.jpg</v>
      </c>
      <c r="G237" s="66"/>
      <c r="H237" s="70" t="s">
        <v>486</v>
      </c>
      <c r="I237" s="71" t="s">
        <v>5838</v>
      </c>
      <c r="J237" s="71" t="s">
        <v>75</v>
      </c>
      <c r="K237" s="70" t="s">
        <v>2534</v>
      </c>
      <c r="L237" s="74">
        <v>477.0952380952381</v>
      </c>
      <c r="M237" s="75">
        <v>7738.587890625</v>
      </c>
      <c r="N237" s="75">
        <v>3547.654541015625</v>
      </c>
      <c r="O237" s="76"/>
      <c r="P237" s="77"/>
      <c r="Q237" s="77"/>
      <c r="R237" s="104"/>
      <c r="S237" s="49">
        <v>1</v>
      </c>
      <c r="T237" s="49">
        <v>0</v>
      </c>
      <c r="U237" s="50">
        <v>0</v>
      </c>
      <c r="V237" s="50">
        <v>0.2</v>
      </c>
      <c r="W237" s="50">
        <v>0</v>
      </c>
      <c r="X237" s="50">
        <v>0.693693</v>
      </c>
      <c r="Y237" s="50">
        <v>0</v>
      </c>
      <c r="Z237" s="50">
        <v>0</v>
      </c>
      <c r="AA237" s="72">
        <v>237</v>
      </c>
      <c r="AB237" s="72"/>
      <c r="AC237" s="73"/>
      <c r="AD237" s="89" t="s">
        <v>1708</v>
      </c>
      <c r="AE237" s="102" t="s">
        <v>1924</v>
      </c>
      <c r="AF237" s="89">
        <v>375</v>
      </c>
      <c r="AG237" s="89">
        <v>607</v>
      </c>
      <c r="AH237" s="89">
        <v>1675</v>
      </c>
      <c r="AI237" s="89">
        <v>4248</v>
      </c>
      <c r="AJ237" s="89"/>
      <c r="AK237" s="89" t="s">
        <v>2157</v>
      </c>
      <c r="AL237" s="89"/>
      <c r="AM237" s="89"/>
      <c r="AN237" s="89"/>
      <c r="AO237" s="92">
        <v>39960.600590277776</v>
      </c>
      <c r="AP237" s="95" t="str">
        <f>HYPERLINK("https://pbs.twimg.com/profile_banners/42892161/1630858575")</f>
        <v>https://pbs.twimg.com/profile_banners/42892161/1630858575</v>
      </c>
      <c r="AQ237" s="89" t="b">
        <v>0</v>
      </c>
      <c r="AR237" s="89" t="b">
        <v>0</v>
      </c>
      <c r="AS237" s="89" t="b">
        <v>1</v>
      </c>
      <c r="AT237" s="89"/>
      <c r="AU237" s="89">
        <v>0</v>
      </c>
      <c r="AV237" s="95" t="str">
        <f>HYPERLINK("https://abs.twimg.com/images/themes/theme2/bg.gif")</f>
        <v>https://abs.twimg.com/images/themes/theme2/bg.gif</v>
      </c>
      <c r="AW237" s="89" t="b">
        <v>0</v>
      </c>
      <c r="AX237" s="89" t="s">
        <v>2300</v>
      </c>
      <c r="AY237" s="95" t="str">
        <f>HYPERLINK("https://twitter.com/ihmemimmi")</f>
        <v>https://twitter.com/ihmemimmi</v>
      </c>
      <c r="AZ237" s="89" t="s">
        <v>65</v>
      </c>
      <c r="BA237" s="89" t="str">
        <f>REPLACE(INDEX(GroupVertices[Group],MATCH(Vertices[[#This Row],[Vertex]],GroupVertices[Vertex],0)),1,1,"")</f>
        <v>13</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5" t="s">
        <v>487</v>
      </c>
      <c r="B238" s="66"/>
      <c r="C238" s="66" t="s">
        <v>46</v>
      </c>
      <c r="D238" s="67">
        <v>10</v>
      </c>
      <c r="E238" s="69"/>
      <c r="F238" s="111" t="str">
        <f>HYPERLINK("https://pbs.twimg.com/profile_images/1456388284276486145/CO-EKEvg_normal.jpg")</f>
        <v>https://pbs.twimg.com/profile_images/1456388284276486145/CO-EKEvg_normal.jpg</v>
      </c>
      <c r="G238" s="66"/>
      <c r="H238" s="70" t="s">
        <v>487</v>
      </c>
      <c r="I238" s="71" t="s">
        <v>5838</v>
      </c>
      <c r="J238" s="71" t="s">
        <v>75</v>
      </c>
      <c r="K238" s="70" t="s">
        <v>2535</v>
      </c>
      <c r="L238" s="74">
        <v>477.0952380952381</v>
      </c>
      <c r="M238" s="75">
        <v>8164.0771484375</v>
      </c>
      <c r="N238" s="75">
        <v>3547.654541015625</v>
      </c>
      <c r="O238" s="76"/>
      <c r="P238" s="77"/>
      <c r="Q238" s="77"/>
      <c r="R238" s="104"/>
      <c r="S238" s="49">
        <v>1</v>
      </c>
      <c r="T238" s="49">
        <v>0</v>
      </c>
      <c r="U238" s="50">
        <v>0</v>
      </c>
      <c r="V238" s="50">
        <v>0.2</v>
      </c>
      <c r="W238" s="50">
        <v>0</v>
      </c>
      <c r="X238" s="50">
        <v>0.693693</v>
      </c>
      <c r="Y238" s="50">
        <v>0</v>
      </c>
      <c r="Z238" s="50">
        <v>0</v>
      </c>
      <c r="AA238" s="72">
        <v>238</v>
      </c>
      <c r="AB238" s="72"/>
      <c r="AC238" s="73"/>
      <c r="AD238" s="89" t="s">
        <v>1709</v>
      </c>
      <c r="AE238" s="102" t="s">
        <v>1413</v>
      </c>
      <c r="AF238" s="89">
        <v>1750</v>
      </c>
      <c r="AG238" s="89">
        <v>2457</v>
      </c>
      <c r="AH238" s="89">
        <v>7804</v>
      </c>
      <c r="AI238" s="89">
        <v>7816</v>
      </c>
      <c r="AJ238" s="89"/>
      <c r="AK238" s="89" t="s">
        <v>2158</v>
      </c>
      <c r="AL238" s="89" t="s">
        <v>2218</v>
      </c>
      <c r="AM238" s="95" t="str">
        <f>HYPERLINK("https://t.co/CLNI5W1K7V")</f>
        <v>https://t.co/CLNI5W1K7V</v>
      </c>
      <c r="AN238" s="89"/>
      <c r="AO238" s="92">
        <v>44315.87706018519</v>
      </c>
      <c r="AP238" s="95" t="str">
        <f>HYPERLINK("https://pbs.twimg.com/profile_banners/1387875034702749703/1634899999")</f>
        <v>https://pbs.twimg.com/profile_banners/1387875034702749703/1634899999</v>
      </c>
      <c r="AQ238" s="89" t="b">
        <v>1</v>
      </c>
      <c r="AR238" s="89" t="b">
        <v>0</v>
      </c>
      <c r="AS238" s="89" t="b">
        <v>0</v>
      </c>
      <c r="AT238" s="89"/>
      <c r="AU238" s="89">
        <v>6</v>
      </c>
      <c r="AV238" s="89"/>
      <c r="AW238" s="89" t="b">
        <v>0</v>
      </c>
      <c r="AX238" s="89" t="s">
        <v>2300</v>
      </c>
      <c r="AY238" s="95" t="str">
        <f>HYPERLINK("https://twitter.com/pmeemit")</f>
        <v>https://twitter.com/pmeemit</v>
      </c>
      <c r="AZ238" s="89" t="s">
        <v>65</v>
      </c>
      <c r="BA238" s="89" t="str">
        <f>REPLACE(INDEX(GroupVertices[Group],MATCH(Vertices[[#This Row],[Vertex]],GroupVertices[Vertex],0)),1,1,"")</f>
        <v>13</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5" t="s">
        <v>488</v>
      </c>
      <c r="B239" s="66"/>
      <c r="C239" s="66" t="s">
        <v>46</v>
      </c>
      <c r="D239" s="67">
        <v>10</v>
      </c>
      <c r="E239" s="69"/>
      <c r="F239" s="111" t="str">
        <f>HYPERLINK("https://pbs.twimg.com/profile_images/1382008443297468423/8Cn77Gy2_normal.jpg")</f>
        <v>https://pbs.twimg.com/profile_images/1382008443297468423/8Cn77Gy2_normal.jpg</v>
      </c>
      <c r="G239" s="66"/>
      <c r="H239" s="70" t="s">
        <v>488</v>
      </c>
      <c r="I239" s="71" t="s">
        <v>5825</v>
      </c>
      <c r="J239" s="71" t="s">
        <v>75</v>
      </c>
      <c r="K239" s="70" t="s">
        <v>2536</v>
      </c>
      <c r="L239" s="74">
        <v>477.0952380952381</v>
      </c>
      <c r="M239" s="75">
        <v>9387.421875</v>
      </c>
      <c r="N239" s="75">
        <v>8736.8291015625</v>
      </c>
      <c r="O239" s="76"/>
      <c r="P239" s="77"/>
      <c r="Q239" s="77"/>
      <c r="R239" s="104"/>
      <c r="S239" s="49">
        <v>1</v>
      </c>
      <c r="T239" s="49">
        <v>0</v>
      </c>
      <c r="U239" s="50">
        <v>0</v>
      </c>
      <c r="V239" s="50">
        <v>0.000823</v>
      </c>
      <c r="W239" s="50">
        <v>0.00047</v>
      </c>
      <c r="X239" s="50">
        <v>0.432136</v>
      </c>
      <c r="Y239" s="50">
        <v>0</v>
      </c>
      <c r="Z239" s="50">
        <v>0</v>
      </c>
      <c r="AA239" s="72">
        <v>239</v>
      </c>
      <c r="AB239" s="72"/>
      <c r="AC239" s="73"/>
      <c r="AD239" s="89" t="s">
        <v>1710</v>
      </c>
      <c r="AE239" s="102" t="s">
        <v>1414</v>
      </c>
      <c r="AF239" s="89">
        <v>1366</v>
      </c>
      <c r="AG239" s="89">
        <v>2715</v>
      </c>
      <c r="AH239" s="89">
        <v>89885</v>
      </c>
      <c r="AI239" s="89">
        <v>13000</v>
      </c>
      <c r="AJ239" s="89"/>
      <c r="AK239" s="89" t="s">
        <v>2159</v>
      </c>
      <c r="AL239" s="89"/>
      <c r="AM239" s="89"/>
      <c r="AN239" s="89"/>
      <c r="AO239" s="92">
        <v>41249.81799768518</v>
      </c>
      <c r="AP239" s="95" t="str">
        <f>HYPERLINK("https://pbs.twimg.com/profile_banners/993692564/1530971678")</f>
        <v>https://pbs.twimg.com/profile_banners/993692564/1530971678</v>
      </c>
      <c r="AQ239" s="89" t="b">
        <v>1</v>
      </c>
      <c r="AR239" s="89" t="b">
        <v>0</v>
      </c>
      <c r="AS239" s="89" t="b">
        <v>1</v>
      </c>
      <c r="AT239" s="89"/>
      <c r="AU239" s="89">
        <v>7</v>
      </c>
      <c r="AV239" s="95" t="str">
        <f>HYPERLINK("https://abs.twimg.com/images/themes/theme1/bg.png")</f>
        <v>https://abs.twimg.com/images/themes/theme1/bg.png</v>
      </c>
      <c r="AW239" s="89" t="b">
        <v>0</v>
      </c>
      <c r="AX239" s="89" t="s">
        <v>2300</v>
      </c>
      <c r="AY239" s="95" t="str">
        <f>HYPERLINK("https://twitter.com/pirijanne")</f>
        <v>https://twitter.com/pirijanne</v>
      </c>
      <c r="AZ239" s="89" t="s">
        <v>65</v>
      </c>
      <c r="BA239" s="89" t="str">
        <f>REPLACE(INDEX(GroupVertices[Group],MATCH(Vertices[[#This Row],[Vertex]],GroupVertices[Vertex],0)),1,1,"")</f>
        <v>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5" t="s">
        <v>489</v>
      </c>
      <c r="B240" s="66"/>
      <c r="C240" s="66" t="s">
        <v>46</v>
      </c>
      <c r="D240" s="67">
        <v>10</v>
      </c>
      <c r="E240" s="69"/>
      <c r="F240" s="111" t="str">
        <f>HYPERLINK("https://pbs.twimg.com/profile_images/1361928241091653633/qhzmp08k_normal.jpg")</f>
        <v>https://pbs.twimg.com/profile_images/1361928241091653633/qhzmp08k_normal.jpg</v>
      </c>
      <c r="G240" s="66"/>
      <c r="H240" s="70" t="s">
        <v>489</v>
      </c>
      <c r="I240" s="71" t="s">
        <v>5825</v>
      </c>
      <c r="J240" s="71" t="s">
        <v>75</v>
      </c>
      <c r="K240" s="70" t="s">
        <v>2537</v>
      </c>
      <c r="L240" s="74">
        <v>477.0952380952381</v>
      </c>
      <c r="M240" s="75">
        <v>9636.732421875</v>
      </c>
      <c r="N240" s="75">
        <v>7560.26708984375</v>
      </c>
      <c r="O240" s="76"/>
      <c r="P240" s="77"/>
      <c r="Q240" s="77"/>
      <c r="R240" s="104"/>
      <c r="S240" s="49">
        <v>1</v>
      </c>
      <c r="T240" s="49">
        <v>0</v>
      </c>
      <c r="U240" s="50">
        <v>0</v>
      </c>
      <c r="V240" s="50">
        <v>0.000823</v>
      </c>
      <c r="W240" s="50">
        <v>0.00047</v>
      </c>
      <c r="X240" s="50">
        <v>0.432136</v>
      </c>
      <c r="Y240" s="50">
        <v>0</v>
      </c>
      <c r="Z240" s="50">
        <v>0</v>
      </c>
      <c r="AA240" s="72">
        <v>240</v>
      </c>
      <c r="AB240" s="72"/>
      <c r="AC240" s="73"/>
      <c r="AD240" s="89" t="s">
        <v>1711</v>
      </c>
      <c r="AE240" s="102" t="s">
        <v>1415</v>
      </c>
      <c r="AF240" s="89">
        <v>4078</v>
      </c>
      <c r="AG240" s="89">
        <v>3073</v>
      </c>
      <c r="AH240" s="89">
        <v>32440</v>
      </c>
      <c r="AI240" s="89">
        <v>57659</v>
      </c>
      <c r="AJ240" s="89"/>
      <c r="AK240" s="89" t="s">
        <v>2160</v>
      </c>
      <c r="AL240" s="89" t="s">
        <v>2221</v>
      </c>
      <c r="AM240" s="89"/>
      <c r="AN240" s="89"/>
      <c r="AO240" s="92">
        <v>43929.18994212963</v>
      </c>
      <c r="AP240" s="95" t="str">
        <f>HYPERLINK("https://pbs.twimg.com/profile_banners/1247744224373526530/1611472842")</f>
        <v>https://pbs.twimg.com/profile_banners/1247744224373526530/1611472842</v>
      </c>
      <c r="AQ240" s="89" t="b">
        <v>1</v>
      </c>
      <c r="AR240" s="89" t="b">
        <v>0</v>
      </c>
      <c r="AS240" s="89" t="b">
        <v>0</v>
      </c>
      <c r="AT240" s="89"/>
      <c r="AU240" s="89">
        <v>2</v>
      </c>
      <c r="AV240" s="89"/>
      <c r="AW240" s="89" t="b">
        <v>0</v>
      </c>
      <c r="AX240" s="89" t="s">
        <v>2300</v>
      </c>
      <c r="AY240" s="95" t="str">
        <f>HYPERLINK("https://twitter.com/zirkkeli1")</f>
        <v>https://twitter.com/zirkkeli1</v>
      </c>
      <c r="AZ240" s="89" t="s">
        <v>65</v>
      </c>
      <c r="BA240" s="89" t="str">
        <f>REPLACE(INDEX(GroupVertices[Group],MATCH(Vertices[[#This Row],[Vertex]],GroupVertices[Vertex],0)),1,1,"")</f>
        <v>6</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5" t="s">
        <v>490</v>
      </c>
      <c r="B241" s="66"/>
      <c r="C241" s="66" t="s">
        <v>46</v>
      </c>
      <c r="D241" s="67">
        <v>10</v>
      </c>
      <c r="E241" s="69"/>
      <c r="F241" s="111" t="str">
        <f>HYPERLINK("https://pbs.twimg.com/profile_images/1172592867203846151/G3cFLdAu_normal.jpg")</f>
        <v>https://pbs.twimg.com/profile_images/1172592867203846151/G3cFLdAu_normal.jpg</v>
      </c>
      <c r="G241" s="66"/>
      <c r="H241" s="70" t="s">
        <v>490</v>
      </c>
      <c r="I241" s="71" t="s">
        <v>5825</v>
      </c>
      <c r="J241" s="71" t="s">
        <v>75</v>
      </c>
      <c r="K241" s="70" t="s">
        <v>2538</v>
      </c>
      <c r="L241" s="74">
        <v>477.0952380952381</v>
      </c>
      <c r="M241" s="75">
        <v>9792.0791015625</v>
      </c>
      <c r="N241" s="75">
        <v>7678.09033203125</v>
      </c>
      <c r="O241" s="76"/>
      <c r="P241" s="77"/>
      <c r="Q241" s="77"/>
      <c r="R241" s="104"/>
      <c r="S241" s="49">
        <v>1</v>
      </c>
      <c r="T241" s="49">
        <v>0</v>
      </c>
      <c r="U241" s="50">
        <v>0</v>
      </c>
      <c r="V241" s="50">
        <v>0.000823</v>
      </c>
      <c r="W241" s="50">
        <v>0.00047</v>
      </c>
      <c r="X241" s="50">
        <v>0.432136</v>
      </c>
      <c r="Y241" s="50">
        <v>0</v>
      </c>
      <c r="Z241" s="50">
        <v>0</v>
      </c>
      <c r="AA241" s="72">
        <v>241</v>
      </c>
      <c r="AB241" s="72"/>
      <c r="AC241" s="73"/>
      <c r="AD241" s="89" t="s">
        <v>1712</v>
      </c>
      <c r="AE241" s="102" t="s">
        <v>1416</v>
      </c>
      <c r="AF241" s="89">
        <v>832</v>
      </c>
      <c r="AG241" s="89">
        <v>231</v>
      </c>
      <c r="AH241" s="89">
        <v>5820</v>
      </c>
      <c r="AI241" s="89">
        <v>13704</v>
      </c>
      <c r="AJ241" s="89"/>
      <c r="AK241" s="89" t="s">
        <v>2161</v>
      </c>
      <c r="AL241" s="89"/>
      <c r="AM241" s="89"/>
      <c r="AN241" s="89"/>
      <c r="AO241" s="92">
        <v>43721.77826388889</v>
      </c>
      <c r="AP241" s="95" t="str">
        <f>HYPERLINK("https://pbs.twimg.com/profile_banners/1172580791701970944/1568402590")</f>
        <v>https://pbs.twimg.com/profile_banners/1172580791701970944/1568402590</v>
      </c>
      <c r="AQ241" s="89" t="b">
        <v>1</v>
      </c>
      <c r="AR241" s="89" t="b">
        <v>0</v>
      </c>
      <c r="AS241" s="89" t="b">
        <v>0</v>
      </c>
      <c r="AT241" s="89"/>
      <c r="AU241" s="89">
        <v>1</v>
      </c>
      <c r="AV241" s="89"/>
      <c r="AW241" s="89" t="b">
        <v>0</v>
      </c>
      <c r="AX241" s="89" t="s">
        <v>2300</v>
      </c>
      <c r="AY241" s="95" t="str">
        <f>HYPERLINK("https://twitter.com/79tuuli")</f>
        <v>https://twitter.com/79tuuli</v>
      </c>
      <c r="AZ241" s="89" t="s">
        <v>65</v>
      </c>
      <c r="BA241" s="89" t="str">
        <f>REPLACE(INDEX(GroupVertices[Group],MATCH(Vertices[[#This Row],[Vertex]],GroupVertices[Vertex],0)),1,1,"")</f>
        <v>6</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5" t="s">
        <v>491</v>
      </c>
      <c r="B242" s="66"/>
      <c r="C242" s="66" t="s">
        <v>46</v>
      </c>
      <c r="D242" s="67">
        <v>10</v>
      </c>
      <c r="E242" s="69"/>
      <c r="F242" s="111" t="str">
        <f>HYPERLINK("https://pbs.twimg.com/profile_images/1039825278971854848/RYVE7XCF_normal.jpg")</f>
        <v>https://pbs.twimg.com/profile_images/1039825278971854848/RYVE7XCF_normal.jpg</v>
      </c>
      <c r="G242" s="66"/>
      <c r="H242" s="70" t="s">
        <v>491</v>
      </c>
      <c r="I242" s="71" t="s">
        <v>5825</v>
      </c>
      <c r="J242" s="71" t="s">
        <v>75</v>
      </c>
      <c r="K242" s="70" t="s">
        <v>2539</v>
      </c>
      <c r="L242" s="74">
        <v>477.0952380952381</v>
      </c>
      <c r="M242" s="75">
        <v>9866.0322265625</v>
      </c>
      <c r="N242" s="75">
        <v>8495.0009765625</v>
      </c>
      <c r="O242" s="76"/>
      <c r="P242" s="77"/>
      <c r="Q242" s="77"/>
      <c r="R242" s="104"/>
      <c r="S242" s="49">
        <v>1</v>
      </c>
      <c r="T242" s="49">
        <v>0</v>
      </c>
      <c r="U242" s="50">
        <v>0</v>
      </c>
      <c r="V242" s="50">
        <v>0.000823</v>
      </c>
      <c r="W242" s="50">
        <v>0.00047</v>
      </c>
      <c r="X242" s="50">
        <v>0.432136</v>
      </c>
      <c r="Y242" s="50">
        <v>0</v>
      </c>
      <c r="Z242" s="50">
        <v>0</v>
      </c>
      <c r="AA242" s="72">
        <v>242</v>
      </c>
      <c r="AB242" s="72"/>
      <c r="AC242" s="73"/>
      <c r="AD242" s="89" t="s">
        <v>1713</v>
      </c>
      <c r="AE242" s="102" t="s">
        <v>1925</v>
      </c>
      <c r="AF242" s="89">
        <v>223</v>
      </c>
      <c r="AG242" s="89">
        <v>68</v>
      </c>
      <c r="AH242" s="89">
        <v>233</v>
      </c>
      <c r="AI242" s="89">
        <v>1282</v>
      </c>
      <c r="AJ242" s="89"/>
      <c r="AK242" s="89" t="s">
        <v>2162</v>
      </c>
      <c r="AL242" s="89"/>
      <c r="AM242" s="89"/>
      <c r="AN242" s="89"/>
      <c r="AO242" s="92">
        <v>43347.15045138889</v>
      </c>
      <c r="AP242" s="89"/>
      <c r="AQ242" s="89" t="b">
        <v>1</v>
      </c>
      <c r="AR242" s="89" t="b">
        <v>0</v>
      </c>
      <c r="AS242" s="89" t="b">
        <v>0</v>
      </c>
      <c r="AT242" s="89"/>
      <c r="AU242" s="89">
        <v>0</v>
      </c>
      <c r="AV242" s="89"/>
      <c r="AW242" s="89" t="b">
        <v>0</v>
      </c>
      <c r="AX242" s="89" t="s">
        <v>2300</v>
      </c>
      <c r="AY242" s="95" t="str">
        <f>HYPERLINK("https://twitter.com/minna_talvitie")</f>
        <v>https://twitter.com/minna_talvitie</v>
      </c>
      <c r="AZ242" s="89" t="s">
        <v>65</v>
      </c>
      <c r="BA242" s="89" t="str">
        <f>REPLACE(INDEX(GroupVertices[Group],MATCH(Vertices[[#This Row],[Vertex]],GroupVertices[Vertex],0)),1,1,"")</f>
        <v>6</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5" t="s">
        <v>492</v>
      </c>
      <c r="B243" s="66"/>
      <c r="C243" s="66" t="s">
        <v>46</v>
      </c>
      <c r="D243" s="67">
        <v>10</v>
      </c>
      <c r="E243" s="69"/>
      <c r="F243" s="111" t="str">
        <f>HYPERLINK("https://pbs.twimg.com/profile_images/1437133340222558219/GAzt97pc_normal.jpg")</f>
        <v>https://pbs.twimg.com/profile_images/1437133340222558219/GAzt97pc_normal.jpg</v>
      </c>
      <c r="G243" s="66"/>
      <c r="H243" s="70" t="s">
        <v>492</v>
      </c>
      <c r="I243" s="71" t="s">
        <v>5825</v>
      </c>
      <c r="J243" s="71" t="s">
        <v>75</v>
      </c>
      <c r="K243" s="70" t="s">
        <v>2540</v>
      </c>
      <c r="L243" s="74">
        <v>477.0952380952381</v>
      </c>
      <c r="M243" s="75">
        <v>9605.19140625</v>
      </c>
      <c r="N243" s="75">
        <v>8872.2275390625</v>
      </c>
      <c r="O243" s="76"/>
      <c r="P243" s="77"/>
      <c r="Q243" s="77"/>
      <c r="R243" s="104"/>
      <c r="S243" s="49">
        <v>1</v>
      </c>
      <c r="T243" s="49">
        <v>0</v>
      </c>
      <c r="U243" s="50">
        <v>0</v>
      </c>
      <c r="V243" s="50">
        <v>0.000823</v>
      </c>
      <c r="W243" s="50">
        <v>0.00047</v>
      </c>
      <c r="X243" s="50">
        <v>0.432136</v>
      </c>
      <c r="Y243" s="50">
        <v>0</v>
      </c>
      <c r="Z243" s="50">
        <v>0</v>
      </c>
      <c r="AA243" s="72">
        <v>243</v>
      </c>
      <c r="AB243" s="72"/>
      <c r="AC243" s="73"/>
      <c r="AD243" s="89" t="s">
        <v>1714</v>
      </c>
      <c r="AE243" s="102" t="s">
        <v>1926</v>
      </c>
      <c r="AF243" s="89">
        <v>601</v>
      </c>
      <c r="AG243" s="89">
        <v>1004</v>
      </c>
      <c r="AH243" s="89">
        <v>11055</v>
      </c>
      <c r="AI243" s="89">
        <v>59268</v>
      </c>
      <c r="AJ243" s="89"/>
      <c r="AK243" s="89" t="s">
        <v>2163</v>
      </c>
      <c r="AL243" s="89" t="s">
        <v>2225</v>
      </c>
      <c r="AM243" s="89"/>
      <c r="AN243" s="89"/>
      <c r="AO243" s="92">
        <v>41035.91024305556</v>
      </c>
      <c r="AP243" s="95" t="str">
        <f>HYPERLINK("https://pbs.twimg.com/profile_banners/573129546/1634759545")</f>
        <v>https://pbs.twimg.com/profile_banners/573129546/1634759545</v>
      </c>
      <c r="AQ243" s="89" t="b">
        <v>0</v>
      </c>
      <c r="AR243" s="89" t="b">
        <v>0</v>
      </c>
      <c r="AS243" s="89" t="b">
        <v>0</v>
      </c>
      <c r="AT243" s="89"/>
      <c r="AU243" s="89">
        <v>2</v>
      </c>
      <c r="AV243" s="95" t="str">
        <f>HYPERLINK("https://abs.twimg.com/images/themes/theme1/bg.png")</f>
        <v>https://abs.twimg.com/images/themes/theme1/bg.png</v>
      </c>
      <c r="AW243" s="89" t="b">
        <v>0</v>
      </c>
      <c r="AX243" s="89" t="s">
        <v>2300</v>
      </c>
      <c r="AY243" s="95" t="str">
        <f>HYPERLINK("https://twitter.com/riku_ranta")</f>
        <v>https://twitter.com/riku_ranta</v>
      </c>
      <c r="AZ243" s="89" t="s">
        <v>65</v>
      </c>
      <c r="BA243" s="89" t="str">
        <f>REPLACE(INDEX(GroupVertices[Group],MATCH(Vertices[[#This Row],[Vertex]],GroupVertices[Vertex],0)),1,1,"")</f>
        <v>6</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5" t="s">
        <v>493</v>
      </c>
      <c r="B244" s="66"/>
      <c r="C244" s="66" t="s">
        <v>46</v>
      </c>
      <c r="D244" s="67">
        <v>10</v>
      </c>
      <c r="E244" s="69"/>
      <c r="F244" s="111" t="str">
        <f>HYPERLINK("https://pbs.twimg.com/profile_images/552849521487921152/Fx6Xo_iN_normal.jpeg")</f>
        <v>https://pbs.twimg.com/profile_images/552849521487921152/Fx6Xo_iN_normal.jpeg</v>
      </c>
      <c r="G244" s="66"/>
      <c r="H244" s="70" t="s">
        <v>493</v>
      </c>
      <c r="I244" s="71" t="s">
        <v>5825</v>
      </c>
      <c r="J244" s="71" t="s">
        <v>75</v>
      </c>
      <c r="K244" s="70" t="s">
        <v>2541</v>
      </c>
      <c r="L244" s="74">
        <v>477.0952380952381</v>
      </c>
      <c r="M244" s="75">
        <v>9286.33203125</v>
      </c>
      <c r="N244" s="75">
        <v>8365.0087890625</v>
      </c>
      <c r="O244" s="76"/>
      <c r="P244" s="77"/>
      <c r="Q244" s="77"/>
      <c r="R244" s="104"/>
      <c r="S244" s="49">
        <v>1</v>
      </c>
      <c r="T244" s="49">
        <v>0</v>
      </c>
      <c r="U244" s="50">
        <v>0</v>
      </c>
      <c r="V244" s="50">
        <v>0.000823</v>
      </c>
      <c r="W244" s="50">
        <v>0.00047</v>
      </c>
      <c r="X244" s="50">
        <v>0.432136</v>
      </c>
      <c r="Y244" s="50">
        <v>0</v>
      </c>
      <c r="Z244" s="50">
        <v>0</v>
      </c>
      <c r="AA244" s="72">
        <v>244</v>
      </c>
      <c r="AB244" s="72"/>
      <c r="AC244" s="73"/>
      <c r="AD244" s="89" t="s">
        <v>1715</v>
      </c>
      <c r="AE244" s="102" t="s">
        <v>1417</v>
      </c>
      <c r="AF244" s="89">
        <v>970</v>
      </c>
      <c r="AG244" s="89">
        <v>461</v>
      </c>
      <c r="AH244" s="89">
        <v>48068</v>
      </c>
      <c r="AI244" s="89">
        <v>76861</v>
      </c>
      <c r="AJ244" s="89"/>
      <c r="AK244" s="89" t="s">
        <v>2164</v>
      </c>
      <c r="AL244" s="89" t="s">
        <v>2287</v>
      </c>
      <c r="AM244" s="89"/>
      <c r="AN244" s="89"/>
      <c r="AO244" s="92">
        <v>39863.36832175926</v>
      </c>
      <c r="AP244" s="95" t="str">
        <f>HYPERLINK("https://pbs.twimg.com/profile_banners/21284329/1369726464")</f>
        <v>https://pbs.twimg.com/profile_banners/21284329/1369726464</v>
      </c>
      <c r="AQ244" s="89" t="b">
        <v>0</v>
      </c>
      <c r="AR244" s="89" t="b">
        <v>0</v>
      </c>
      <c r="AS244" s="89" t="b">
        <v>0</v>
      </c>
      <c r="AT244" s="89"/>
      <c r="AU244" s="89">
        <v>17</v>
      </c>
      <c r="AV244" s="95" t="str">
        <f>HYPERLINK("https://abs.twimg.com/images/themes/theme1/bg.png")</f>
        <v>https://abs.twimg.com/images/themes/theme1/bg.png</v>
      </c>
      <c r="AW244" s="89" t="b">
        <v>0</v>
      </c>
      <c r="AX244" s="89" t="s">
        <v>2300</v>
      </c>
      <c r="AY244" s="95" t="str">
        <f>HYPERLINK("https://twitter.com/nuuska")</f>
        <v>https://twitter.com/nuuska</v>
      </c>
      <c r="AZ244" s="89" t="s">
        <v>65</v>
      </c>
      <c r="BA244" s="89" t="str">
        <f>REPLACE(INDEX(GroupVertices[Group],MATCH(Vertices[[#This Row],[Vertex]],GroupVertices[Vertex],0)),1,1,"")</f>
        <v>6</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5" t="s">
        <v>494</v>
      </c>
      <c r="B245" s="66"/>
      <c r="C245" s="66" t="s">
        <v>64</v>
      </c>
      <c r="D245" s="67">
        <v>392.9842791621962</v>
      </c>
      <c r="E245" s="69"/>
      <c r="F245" s="111" t="str">
        <f>HYPERLINK("https://pbs.twimg.com/profile_images/1145579222901149702/pY4TIowa_normal.png")</f>
        <v>https://pbs.twimg.com/profile_images/1145579222901149702/pY4TIowa_normal.png</v>
      </c>
      <c r="G245" s="66"/>
      <c r="H245" s="70" t="s">
        <v>494</v>
      </c>
      <c r="I245" s="71" t="s">
        <v>5825</v>
      </c>
      <c r="J245" s="71" t="s">
        <v>75</v>
      </c>
      <c r="K245" s="70" t="s">
        <v>2542</v>
      </c>
      <c r="L245" s="74">
        <v>953.1904761904761</v>
      </c>
      <c r="M245" s="75">
        <v>9842.359375</v>
      </c>
      <c r="N245" s="75">
        <v>8060.83154296875</v>
      </c>
      <c r="O245" s="76"/>
      <c r="P245" s="77"/>
      <c r="Q245" s="77"/>
      <c r="R245" s="104"/>
      <c r="S245" s="49">
        <v>2</v>
      </c>
      <c r="T245" s="49">
        <v>0</v>
      </c>
      <c r="U245" s="50">
        <v>167.238095</v>
      </c>
      <c r="V245" s="50">
        <v>0.000921</v>
      </c>
      <c r="W245" s="50">
        <v>0.005424</v>
      </c>
      <c r="X245" s="50">
        <v>0.623127</v>
      </c>
      <c r="Y245" s="50">
        <v>0</v>
      </c>
      <c r="Z245" s="50">
        <v>0</v>
      </c>
      <c r="AA245" s="72">
        <v>245</v>
      </c>
      <c r="AB245" s="72"/>
      <c r="AC245" s="73"/>
      <c r="AD245" s="89" t="s">
        <v>1716</v>
      </c>
      <c r="AE245" s="102" t="s">
        <v>1927</v>
      </c>
      <c r="AF245" s="89">
        <v>2371</v>
      </c>
      <c r="AG245" s="89">
        <v>336227</v>
      </c>
      <c r="AH245" s="89">
        <v>183928</v>
      </c>
      <c r="AI245" s="89">
        <v>476</v>
      </c>
      <c r="AJ245" s="89"/>
      <c r="AK245" s="89" t="s">
        <v>2165</v>
      </c>
      <c r="AL245" s="89" t="s">
        <v>2288</v>
      </c>
      <c r="AM245" s="95" t="str">
        <f>HYPERLINK("https://t.co/28t8Vacqt5")</f>
        <v>https://t.co/28t8Vacqt5</v>
      </c>
      <c r="AN245" s="89"/>
      <c r="AO245" s="92">
        <v>39945.7019212963</v>
      </c>
      <c r="AP245" s="95" t="str">
        <f>HYPERLINK("https://pbs.twimg.com/profile_banners/39540130/1625664672")</f>
        <v>https://pbs.twimg.com/profile_banners/39540130/1625664672</v>
      </c>
      <c r="AQ245" s="89" t="b">
        <v>0</v>
      </c>
      <c r="AR245" s="89" t="b">
        <v>0</v>
      </c>
      <c r="AS245" s="89" t="b">
        <v>1</v>
      </c>
      <c r="AT245" s="89"/>
      <c r="AU245" s="89">
        <v>1368</v>
      </c>
      <c r="AV245" s="95" t="str">
        <f>HYPERLINK("https://abs.twimg.com/images/themes/theme3/bg.gif")</f>
        <v>https://abs.twimg.com/images/themes/theme3/bg.gif</v>
      </c>
      <c r="AW245" s="89" t="b">
        <v>1</v>
      </c>
      <c r="AX245" s="89" t="s">
        <v>2300</v>
      </c>
      <c r="AY245" s="95" t="str">
        <f>HYPERLINK("https://twitter.com/hsfi")</f>
        <v>https://twitter.com/hsfi</v>
      </c>
      <c r="AZ245" s="89" t="s">
        <v>65</v>
      </c>
      <c r="BA245" s="89" t="str">
        <f>REPLACE(INDEX(GroupVertices[Group],MATCH(Vertices[[#This Row],[Vertex]],GroupVertices[Vertex],0)),1,1,"")</f>
        <v>6</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5" t="s">
        <v>342</v>
      </c>
      <c r="B246" s="66"/>
      <c r="C246" s="66" t="s">
        <v>46</v>
      </c>
      <c r="D246" s="67"/>
      <c r="E246" s="69"/>
      <c r="F246" s="111" t="str">
        <f>HYPERLINK("https://pbs.twimg.com/profile_images/1415947131345674241/zIPfYNc2_normal.jpg")</f>
        <v>https://pbs.twimg.com/profile_images/1415947131345674241/zIPfYNc2_normal.jpg</v>
      </c>
      <c r="G246" s="66"/>
      <c r="H246" s="70" t="s">
        <v>342</v>
      </c>
      <c r="I246" s="71" t="s">
        <v>5834</v>
      </c>
      <c r="J246" s="71" t="s">
        <v>73</v>
      </c>
      <c r="K246" s="70" t="s">
        <v>2543</v>
      </c>
      <c r="L246" s="74">
        <v>1</v>
      </c>
      <c r="M246" s="75">
        <v>3128.843505859375</v>
      </c>
      <c r="N246" s="75">
        <v>4384.08935546875</v>
      </c>
      <c r="O246" s="76"/>
      <c r="P246" s="77"/>
      <c r="Q246" s="77"/>
      <c r="R246" s="104"/>
      <c r="S246" s="49">
        <v>0</v>
      </c>
      <c r="T246" s="49">
        <v>2</v>
      </c>
      <c r="U246" s="50">
        <v>0</v>
      </c>
      <c r="V246" s="50">
        <v>0.000858</v>
      </c>
      <c r="W246" s="50">
        <v>0.006409</v>
      </c>
      <c r="X246" s="50">
        <v>0.531121</v>
      </c>
      <c r="Y246" s="50">
        <v>0.5</v>
      </c>
      <c r="Z246" s="50">
        <v>0</v>
      </c>
      <c r="AA246" s="72">
        <v>246</v>
      </c>
      <c r="AB246" s="72"/>
      <c r="AC246" s="73"/>
      <c r="AD246" s="89" t="s">
        <v>1717</v>
      </c>
      <c r="AE246" s="102" t="s">
        <v>1928</v>
      </c>
      <c r="AF246" s="89">
        <v>2929</v>
      </c>
      <c r="AG246" s="89">
        <v>584</v>
      </c>
      <c r="AH246" s="89">
        <v>44912</v>
      </c>
      <c r="AI246" s="89">
        <v>18281</v>
      </c>
      <c r="AJ246" s="89"/>
      <c r="AK246" s="89" t="s">
        <v>2166</v>
      </c>
      <c r="AL246" s="89" t="s">
        <v>2223</v>
      </c>
      <c r="AM246" s="89"/>
      <c r="AN246" s="89"/>
      <c r="AO246" s="92">
        <v>43354.74204861111</v>
      </c>
      <c r="AP246" s="95" t="str">
        <f>HYPERLINK("https://pbs.twimg.com/profile_banners/1039571411881349120/1626424044")</f>
        <v>https://pbs.twimg.com/profile_banners/1039571411881349120/1626424044</v>
      </c>
      <c r="AQ246" s="89" t="b">
        <v>1</v>
      </c>
      <c r="AR246" s="89" t="b">
        <v>0</v>
      </c>
      <c r="AS246" s="89" t="b">
        <v>0</v>
      </c>
      <c r="AT246" s="89"/>
      <c r="AU246" s="89">
        <v>2</v>
      </c>
      <c r="AV246" s="89"/>
      <c r="AW246" s="89" t="b">
        <v>0</v>
      </c>
      <c r="AX246" s="89" t="s">
        <v>2300</v>
      </c>
      <c r="AY246" s="95" t="str">
        <f>HYPERLINK("https://twitter.com/artolehikoinen")</f>
        <v>https://twitter.com/artolehikoinen</v>
      </c>
      <c r="AZ246" s="89" t="s">
        <v>66</v>
      </c>
      <c r="BA246" s="89" t="str">
        <f>REPLACE(INDEX(GroupVertices[Group],MATCH(Vertices[[#This Row],[Vertex]],GroupVertices[Vertex],0)),1,1,"")</f>
        <v>3</v>
      </c>
      <c r="BB246" s="49">
        <v>0</v>
      </c>
      <c r="BC246" s="50">
        <v>0</v>
      </c>
      <c r="BD246" s="49">
        <v>0</v>
      </c>
      <c r="BE246" s="50">
        <v>0</v>
      </c>
      <c r="BF246" s="49">
        <v>0</v>
      </c>
      <c r="BG246" s="50">
        <v>0</v>
      </c>
      <c r="BH246" s="49">
        <v>13</v>
      </c>
      <c r="BI246" s="50">
        <v>100</v>
      </c>
      <c r="BJ246" s="49">
        <v>13</v>
      </c>
      <c r="BK246" s="49"/>
      <c r="BL246" s="49"/>
      <c r="BM246" s="49"/>
      <c r="BN246" s="49"/>
      <c r="BO246" s="49"/>
      <c r="BP246" s="49"/>
      <c r="BQ246" s="123" t="s">
        <v>5631</v>
      </c>
      <c r="BR246" s="123" t="s">
        <v>5631</v>
      </c>
      <c r="BS246" s="123" t="s">
        <v>5781</v>
      </c>
      <c r="BT246" s="123" t="s">
        <v>5781</v>
      </c>
      <c r="BU246" s="2"/>
      <c r="BV246" s="3"/>
      <c r="BW246" s="3"/>
      <c r="BX246" s="3"/>
      <c r="BY246" s="3"/>
    </row>
    <row r="247" spans="1:77" ht="15">
      <c r="A247" s="65" t="s">
        <v>343</v>
      </c>
      <c r="B247" s="66"/>
      <c r="C247" s="66" t="s">
        <v>46</v>
      </c>
      <c r="D247" s="67"/>
      <c r="E247" s="69"/>
      <c r="F247" s="111" t="str">
        <f>HYPERLINK("https://pbs.twimg.com/profile_images/689564829145812995/z-1QV8uw_normal.jpg")</f>
        <v>https://pbs.twimg.com/profile_images/689564829145812995/z-1QV8uw_normal.jpg</v>
      </c>
      <c r="G247" s="66"/>
      <c r="H247" s="70" t="s">
        <v>343</v>
      </c>
      <c r="I247" s="71" t="s">
        <v>5822</v>
      </c>
      <c r="J247" s="71" t="s">
        <v>73</v>
      </c>
      <c r="K247" s="70" t="s">
        <v>2544</v>
      </c>
      <c r="L247" s="74">
        <v>1</v>
      </c>
      <c r="M247" s="75">
        <v>7725.2900390625</v>
      </c>
      <c r="N247" s="75">
        <v>8945.70703125</v>
      </c>
      <c r="O247" s="76"/>
      <c r="P247" s="77"/>
      <c r="Q247" s="77"/>
      <c r="R247" s="104"/>
      <c r="S247" s="49">
        <v>0</v>
      </c>
      <c r="T247" s="49">
        <v>1</v>
      </c>
      <c r="U247" s="50">
        <v>0</v>
      </c>
      <c r="V247" s="50">
        <v>0.000625</v>
      </c>
      <c r="W247" s="50">
        <v>2.7E-05</v>
      </c>
      <c r="X247" s="50">
        <v>0.518172</v>
      </c>
      <c r="Y247" s="50">
        <v>0</v>
      </c>
      <c r="Z247" s="50">
        <v>0</v>
      </c>
      <c r="AA247" s="72">
        <v>247</v>
      </c>
      <c r="AB247" s="72"/>
      <c r="AC247" s="73"/>
      <c r="AD247" s="89" t="s">
        <v>1718</v>
      </c>
      <c r="AE247" s="102" t="s">
        <v>1929</v>
      </c>
      <c r="AF247" s="89">
        <v>1056</v>
      </c>
      <c r="AG247" s="89">
        <v>189</v>
      </c>
      <c r="AH247" s="89">
        <v>638</v>
      </c>
      <c r="AI247" s="89">
        <v>408</v>
      </c>
      <c r="AJ247" s="89"/>
      <c r="AK247" s="89" t="s">
        <v>2167</v>
      </c>
      <c r="AL247" s="89" t="s">
        <v>2289</v>
      </c>
      <c r="AM247" s="95" t="str">
        <f>HYPERLINK("https://t.co/ptfBPRCYiN")</f>
        <v>https://t.co/ptfBPRCYiN</v>
      </c>
      <c r="AN247" s="89"/>
      <c r="AO247" s="92">
        <v>42080.516701388886</v>
      </c>
      <c r="AP247" s="95" t="str">
        <f>HYPERLINK("https://pbs.twimg.com/profile_banners/3092777644/1511620987")</f>
        <v>https://pbs.twimg.com/profile_banners/3092777644/1511620987</v>
      </c>
      <c r="AQ247" s="89" t="b">
        <v>0</v>
      </c>
      <c r="AR247" s="89" t="b">
        <v>0</v>
      </c>
      <c r="AS247" s="89" t="b">
        <v>1</v>
      </c>
      <c r="AT247" s="89"/>
      <c r="AU247" s="89">
        <v>0</v>
      </c>
      <c r="AV247" s="95" t="str">
        <f>HYPERLINK("https://abs.twimg.com/images/themes/theme1/bg.png")</f>
        <v>https://abs.twimg.com/images/themes/theme1/bg.png</v>
      </c>
      <c r="AW247" s="89" t="b">
        <v>0</v>
      </c>
      <c r="AX247" s="89" t="s">
        <v>2300</v>
      </c>
      <c r="AY247" s="95" t="str">
        <f>HYPERLINK("https://twitter.com/apostkristitty")</f>
        <v>https://twitter.com/apostkristitty</v>
      </c>
      <c r="AZ247" s="89" t="s">
        <v>66</v>
      </c>
      <c r="BA247" s="89" t="str">
        <f>REPLACE(INDEX(GroupVertices[Group],MATCH(Vertices[[#This Row],[Vertex]],GroupVertices[Vertex],0)),1,1,"")</f>
        <v>5</v>
      </c>
      <c r="BB247" s="49">
        <v>0</v>
      </c>
      <c r="BC247" s="50">
        <v>0</v>
      </c>
      <c r="BD247" s="49">
        <v>0</v>
      </c>
      <c r="BE247" s="50">
        <v>0</v>
      </c>
      <c r="BF247" s="49">
        <v>0</v>
      </c>
      <c r="BG247" s="50">
        <v>0</v>
      </c>
      <c r="BH247" s="49">
        <v>31</v>
      </c>
      <c r="BI247" s="50">
        <v>100</v>
      </c>
      <c r="BJ247" s="49">
        <v>31</v>
      </c>
      <c r="BK247" s="49" t="s">
        <v>5219</v>
      </c>
      <c r="BL247" s="49" t="s">
        <v>5219</v>
      </c>
      <c r="BM247" s="49" t="s">
        <v>707</v>
      </c>
      <c r="BN247" s="49" t="s">
        <v>707</v>
      </c>
      <c r="BO247" s="49"/>
      <c r="BP247" s="49"/>
      <c r="BQ247" s="123" t="s">
        <v>5632</v>
      </c>
      <c r="BR247" s="123" t="s">
        <v>5632</v>
      </c>
      <c r="BS247" s="123" t="s">
        <v>5782</v>
      </c>
      <c r="BT247" s="123" t="s">
        <v>5782</v>
      </c>
      <c r="BU247" s="2"/>
      <c r="BV247" s="3"/>
      <c r="BW247" s="3"/>
      <c r="BX247" s="3"/>
      <c r="BY247" s="3"/>
    </row>
    <row r="248" spans="1:77" ht="15">
      <c r="A248" s="65" t="s">
        <v>344</v>
      </c>
      <c r="B248" s="66"/>
      <c r="C248" s="66" t="s">
        <v>46</v>
      </c>
      <c r="D248" s="67"/>
      <c r="E248" s="69"/>
      <c r="F248" s="111" t="str">
        <f>HYPERLINK("https://abs.twimg.com/sticky/default_profile_images/default_profile_normal.png")</f>
        <v>https://abs.twimg.com/sticky/default_profile_images/default_profile_normal.png</v>
      </c>
      <c r="G248" s="66"/>
      <c r="H248" s="70" t="s">
        <v>344</v>
      </c>
      <c r="I248" s="71" t="s">
        <v>5825</v>
      </c>
      <c r="J248" s="71" t="s">
        <v>73</v>
      </c>
      <c r="K248" s="70" t="s">
        <v>2545</v>
      </c>
      <c r="L248" s="74">
        <v>1</v>
      </c>
      <c r="M248" s="75">
        <v>9224.9853515625</v>
      </c>
      <c r="N248" s="75">
        <v>6800.970703125</v>
      </c>
      <c r="O248" s="76"/>
      <c r="P248" s="77"/>
      <c r="Q248" s="77"/>
      <c r="R248" s="104"/>
      <c r="S248" s="49">
        <v>0</v>
      </c>
      <c r="T248" s="49">
        <v>1</v>
      </c>
      <c r="U248" s="50">
        <v>0</v>
      </c>
      <c r="V248" s="50">
        <v>0.000762</v>
      </c>
      <c r="W248" s="50">
        <v>0.00066</v>
      </c>
      <c r="X248" s="50">
        <v>0.444775</v>
      </c>
      <c r="Y248" s="50">
        <v>0</v>
      </c>
      <c r="Z248" s="50">
        <v>0</v>
      </c>
      <c r="AA248" s="72">
        <v>248</v>
      </c>
      <c r="AB248" s="72"/>
      <c r="AC248" s="73"/>
      <c r="AD248" s="89" t="s">
        <v>1719</v>
      </c>
      <c r="AE248" s="102" t="s">
        <v>1930</v>
      </c>
      <c r="AF248" s="89">
        <v>50</v>
      </c>
      <c r="AG248" s="89">
        <v>9</v>
      </c>
      <c r="AH248" s="89">
        <v>249</v>
      </c>
      <c r="AI248" s="89">
        <v>655</v>
      </c>
      <c r="AJ248" s="89"/>
      <c r="AK248" s="89" t="s">
        <v>2168</v>
      </c>
      <c r="AL248" s="89"/>
      <c r="AM248" s="89"/>
      <c r="AN248" s="89"/>
      <c r="AO248" s="92">
        <v>44490.46376157407</v>
      </c>
      <c r="AP248" s="89"/>
      <c r="AQ248" s="89" t="b">
        <v>1</v>
      </c>
      <c r="AR248" s="89" t="b">
        <v>1</v>
      </c>
      <c r="AS248" s="89" t="b">
        <v>0</v>
      </c>
      <c r="AT248" s="89"/>
      <c r="AU248" s="89">
        <v>0</v>
      </c>
      <c r="AV248" s="89"/>
      <c r="AW248" s="89" t="b">
        <v>0</v>
      </c>
      <c r="AX248" s="89" t="s">
        <v>2300</v>
      </c>
      <c r="AY248" s="95" t="str">
        <f>HYPERLINK("https://twitter.com/haadrobin")</f>
        <v>https://twitter.com/haadrobin</v>
      </c>
      <c r="AZ248" s="89" t="s">
        <v>66</v>
      </c>
      <c r="BA248" s="89" t="str">
        <f>REPLACE(INDEX(GroupVertices[Group],MATCH(Vertices[[#This Row],[Vertex]],GroupVertices[Vertex],0)),1,1,"")</f>
        <v>6</v>
      </c>
      <c r="BB248" s="49">
        <v>0</v>
      </c>
      <c r="BC248" s="50">
        <v>0</v>
      </c>
      <c r="BD248" s="49">
        <v>0</v>
      </c>
      <c r="BE248" s="50">
        <v>0</v>
      </c>
      <c r="BF248" s="49">
        <v>0</v>
      </c>
      <c r="BG248" s="50">
        <v>0</v>
      </c>
      <c r="BH248" s="49">
        <v>34</v>
      </c>
      <c r="BI248" s="50">
        <v>100</v>
      </c>
      <c r="BJ248" s="49">
        <v>34</v>
      </c>
      <c r="BK248" s="49"/>
      <c r="BL248" s="49"/>
      <c r="BM248" s="49"/>
      <c r="BN248" s="49"/>
      <c r="BO248" s="49"/>
      <c r="BP248" s="49"/>
      <c r="BQ248" s="123" t="s">
        <v>5633</v>
      </c>
      <c r="BR248" s="123" t="s">
        <v>5633</v>
      </c>
      <c r="BS248" s="123" t="s">
        <v>5783</v>
      </c>
      <c r="BT248" s="123" t="s">
        <v>5783</v>
      </c>
      <c r="BU248" s="2"/>
      <c r="BV248" s="3"/>
      <c r="BW248" s="3"/>
      <c r="BX248" s="3"/>
      <c r="BY248" s="3"/>
    </row>
    <row r="249" spans="1:77" ht="15">
      <c r="A249" s="65" t="s">
        <v>345</v>
      </c>
      <c r="B249" s="66"/>
      <c r="C249" s="66" t="s">
        <v>46</v>
      </c>
      <c r="D249" s="67"/>
      <c r="E249" s="69"/>
      <c r="F249" s="111" t="str">
        <f>HYPERLINK("https://pbs.twimg.com/profile_images/1242759242290954240/fsx2kGyh_normal.jpg")</f>
        <v>https://pbs.twimg.com/profile_images/1242759242290954240/fsx2kGyh_normal.jpg</v>
      </c>
      <c r="G249" s="66"/>
      <c r="H249" s="70" t="s">
        <v>345</v>
      </c>
      <c r="I249" s="71" t="s">
        <v>5834</v>
      </c>
      <c r="J249" s="71" t="s">
        <v>73</v>
      </c>
      <c r="K249" s="70" t="s">
        <v>2546</v>
      </c>
      <c r="L249" s="74">
        <v>1</v>
      </c>
      <c r="M249" s="75">
        <v>4682.81103515625</v>
      </c>
      <c r="N249" s="75">
        <v>1633.12255859375</v>
      </c>
      <c r="O249" s="76"/>
      <c r="P249" s="77"/>
      <c r="Q249" s="77"/>
      <c r="R249" s="104"/>
      <c r="S249" s="49">
        <v>0</v>
      </c>
      <c r="T249" s="49">
        <v>3</v>
      </c>
      <c r="U249" s="50">
        <v>2039.094226</v>
      </c>
      <c r="V249" s="50">
        <v>0.000757</v>
      </c>
      <c r="W249" s="50">
        <v>0.0026</v>
      </c>
      <c r="X249" s="50">
        <v>1.04714</v>
      </c>
      <c r="Y249" s="50">
        <v>0</v>
      </c>
      <c r="Z249" s="50">
        <v>0</v>
      </c>
      <c r="AA249" s="72">
        <v>249</v>
      </c>
      <c r="AB249" s="72"/>
      <c r="AC249" s="73"/>
      <c r="AD249" s="89" t="s">
        <v>1720</v>
      </c>
      <c r="AE249" s="102" t="s">
        <v>1931</v>
      </c>
      <c r="AF249" s="89">
        <v>463</v>
      </c>
      <c r="AG249" s="89">
        <v>265</v>
      </c>
      <c r="AH249" s="89">
        <v>4203</v>
      </c>
      <c r="AI249" s="89">
        <v>15056</v>
      </c>
      <c r="AJ249" s="89"/>
      <c r="AK249" s="89" t="s">
        <v>2169</v>
      </c>
      <c r="AL249" s="89"/>
      <c r="AM249" s="89"/>
      <c r="AN249" s="89"/>
      <c r="AO249" s="92">
        <v>43914.92469907407</v>
      </c>
      <c r="AP249" s="95" t="str">
        <f>HYPERLINK("https://pbs.twimg.com/profile_banners/1242574711470673924/1585131839")</f>
        <v>https://pbs.twimg.com/profile_banners/1242574711470673924/1585131839</v>
      </c>
      <c r="AQ249" s="89" t="b">
        <v>1</v>
      </c>
      <c r="AR249" s="89" t="b">
        <v>0</v>
      </c>
      <c r="AS249" s="89" t="b">
        <v>0</v>
      </c>
      <c r="AT249" s="89"/>
      <c r="AU249" s="89">
        <v>0</v>
      </c>
      <c r="AV249" s="89"/>
      <c r="AW249" s="89" t="b">
        <v>0</v>
      </c>
      <c r="AX249" s="89" t="s">
        <v>2300</v>
      </c>
      <c r="AY249" s="95" t="str">
        <f>HYPERLINK("https://twitter.com/jarnosaukkorii1")</f>
        <v>https://twitter.com/jarnosaukkorii1</v>
      </c>
      <c r="AZ249" s="89" t="s">
        <v>66</v>
      </c>
      <c r="BA249" s="89" t="str">
        <f>REPLACE(INDEX(GroupVertices[Group],MATCH(Vertices[[#This Row],[Vertex]],GroupVertices[Vertex],0)),1,1,"")</f>
        <v>3</v>
      </c>
      <c r="BB249" s="49">
        <v>0</v>
      </c>
      <c r="BC249" s="50">
        <v>0</v>
      </c>
      <c r="BD249" s="49">
        <v>0</v>
      </c>
      <c r="BE249" s="50">
        <v>0</v>
      </c>
      <c r="BF249" s="49">
        <v>0</v>
      </c>
      <c r="BG249" s="50">
        <v>0</v>
      </c>
      <c r="BH249" s="49">
        <v>42</v>
      </c>
      <c r="BI249" s="50">
        <v>100</v>
      </c>
      <c r="BJ249" s="49">
        <v>42</v>
      </c>
      <c r="BK249" s="49" t="s">
        <v>5213</v>
      </c>
      <c r="BL249" s="49" t="s">
        <v>5213</v>
      </c>
      <c r="BM249" s="49" t="s">
        <v>708</v>
      </c>
      <c r="BN249" s="49" t="s">
        <v>708</v>
      </c>
      <c r="BO249" s="49"/>
      <c r="BP249" s="49"/>
      <c r="BQ249" s="123" t="s">
        <v>5634</v>
      </c>
      <c r="BR249" s="123" t="s">
        <v>5681</v>
      </c>
      <c r="BS249" s="123" t="s">
        <v>5784</v>
      </c>
      <c r="BT249" s="123" t="s">
        <v>5815</v>
      </c>
      <c r="BU249" s="2"/>
      <c r="BV249" s="3"/>
      <c r="BW249" s="3"/>
      <c r="BX249" s="3"/>
      <c r="BY249" s="3"/>
    </row>
    <row r="250" spans="1:77" ht="15">
      <c r="A250" s="65" t="s">
        <v>495</v>
      </c>
      <c r="B250" s="66"/>
      <c r="C250" s="66" t="s">
        <v>46</v>
      </c>
      <c r="D250" s="67">
        <v>10</v>
      </c>
      <c r="E250" s="69"/>
      <c r="F250" s="111" t="str">
        <f>HYPERLINK("https://pbs.twimg.com/profile_images/1349106043914235907/L3R2ptAm_normal.jpg")</f>
        <v>https://pbs.twimg.com/profile_images/1349106043914235907/L3R2ptAm_normal.jpg</v>
      </c>
      <c r="G250" s="66"/>
      <c r="H250" s="70" t="s">
        <v>495</v>
      </c>
      <c r="I250" s="71" t="s">
        <v>5834</v>
      </c>
      <c r="J250" s="71" t="s">
        <v>75</v>
      </c>
      <c r="K250" s="70" t="s">
        <v>2547</v>
      </c>
      <c r="L250" s="74">
        <v>477.0952380952381</v>
      </c>
      <c r="M250" s="75">
        <v>4972.90673828125</v>
      </c>
      <c r="N250" s="75">
        <v>2252.67822265625</v>
      </c>
      <c r="O250" s="76"/>
      <c r="P250" s="77"/>
      <c r="Q250" s="77"/>
      <c r="R250" s="104"/>
      <c r="S250" s="49">
        <v>1</v>
      </c>
      <c r="T250" s="49">
        <v>0</v>
      </c>
      <c r="U250" s="50">
        <v>0</v>
      </c>
      <c r="V250" s="50">
        <v>0.000639</v>
      </c>
      <c r="W250" s="50">
        <v>0.000303</v>
      </c>
      <c r="X250" s="50">
        <v>0.44669</v>
      </c>
      <c r="Y250" s="50">
        <v>0</v>
      </c>
      <c r="Z250" s="50">
        <v>0</v>
      </c>
      <c r="AA250" s="72">
        <v>250</v>
      </c>
      <c r="AB250" s="72"/>
      <c r="AC250" s="73"/>
      <c r="AD250" s="89" t="s">
        <v>1721</v>
      </c>
      <c r="AE250" s="102" t="s">
        <v>1419</v>
      </c>
      <c r="AF250" s="89">
        <v>75</v>
      </c>
      <c r="AG250" s="89">
        <v>20</v>
      </c>
      <c r="AH250" s="89">
        <v>1125</v>
      </c>
      <c r="AI250" s="89">
        <v>870</v>
      </c>
      <c r="AJ250" s="89"/>
      <c r="AK250" s="89" t="s">
        <v>2170</v>
      </c>
      <c r="AL250" s="89"/>
      <c r="AM250" s="89"/>
      <c r="AN250" s="89"/>
      <c r="AO250" s="92">
        <v>41507.985127314816</v>
      </c>
      <c r="AP250" s="89"/>
      <c r="AQ250" s="89" t="b">
        <v>1</v>
      </c>
      <c r="AR250" s="89" t="b">
        <v>0</v>
      </c>
      <c r="AS250" s="89" t="b">
        <v>0</v>
      </c>
      <c r="AT250" s="89"/>
      <c r="AU250" s="89">
        <v>1</v>
      </c>
      <c r="AV250" s="95" t="str">
        <f>HYPERLINK("https://abs.twimg.com/images/themes/theme1/bg.png")</f>
        <v>https://abs.twimg.com/images/themes/theme1/bg.png</v>
      </c>
      <c r="AW250" s="89" t="b">
        <v>0</v>
      </c>
      <c r="AX250" s="89" t="s">
        <v>2300</v>
      </c>
      <c r="AY250" s="95" t="str">
        <f>HYPERLINK("https://twitter.com/anrajala")</f>
        <v>https://twitter.com/anrajala</v>
      </c>
      <c r="AZ250" s="89" t="s">
        <v>65</v>
      </c>
      <c r="BA250" s="89" t="str">
        <f>REPLACE(INDEX(GroupVertices[Group],MATCH(Vertices[[#This Row],[Vertex]],GroupVertices[Vertex],0)),1,1,"")</f>
        <v>3</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5" t="s">
        <v>346</v>
      </c>
      <c r="B251" s="66"/>
      <c r="C251" s="66" t="s">
        <v>46</v>
      </c>
      <c r="D251" s="67"/>
      <c r="E251" s="69"/>
      <c r="F251" s="111" t="str">
        <f>HYPERLINK("https://abs.twimg.com/sticky/default_profile_images/default_profile_normal.png")</f>
        <v>https://abs.twimg.com/sticky/default_profile_images/default_profile_normal.png</v>
      </c>
      <c r="G251" s="66"/>
      <c r="H251" s="70" t="s">
        <v>346</v>
      </c>
      <c r="I251" s="71" t="s">
        <v>5818</v>
      </c>
      <c r="J251" s="71" t="s">
        <v>73</v>
      </c>
      <c r="K251" s="70" t="s">
        <v>2548</v>
      </c>
      <c r="L251" s="74">
        <v>1</v>
      </c>
      <c r="M251" s="75">
        <v>1357.439697265625</v>
      </c>
      <c r="N251" s="75">
        <v>4777.04052734375</v>
      </c>
      <c r="O251" s="76"/>
      <c r="P251" s="77"/>
      <c r="Q251" s="77"/>
      <c r="R251" s="104"/>
      <c r="S251" s="49">
        <v>0</v>
      </c>
      <c r="T251" s="49">
        <v>1</v>
      </c>
      <c r="U251" s="50">
        <v>0</v>
      </c>
      <c r="V251" s="50">
        <v>0.000926</v>
      </c>
      <c r="W251" s="50">
        <v>0.003628</v>
      </c>
      <c r="X251" s="50">
        <v>0.395207</v>
      </c>
      <c r="Y251" s="50">
        <v>0</v>
      </c>
      <c r="Z251" s="50">
        <v>0</v>
      </c>
      <c r="AA251" s="72">
        <v>251</v>
      </c>
      <c r="AB251" s="72"/>
      <c r="AC251" s="73"/>
      <c r="AD251" s="89" t="s">
        <v>1722</v>
      </c>
      <c r="AE251" s="102" t="s">
        <v>1932</v>
      </c>
      <c r="AF251" s="89">
        <v>240</v>
      </c>
      <c r="AG251" s="89">
        <v>229</v>
      </c>
      <c r="AH251" s="89">
        <v>10232</v>
      </c>
      <c r="AI251" s="89">
        <v>78141</v>
      </c>
      <c r="AJ251" s="89"/>
      <c r="AK251" s="89"/>
      <c r="AL251" s="89"/>
      <c r="AM251" s="89"/>
      <c r="AN251" s="89"/>
      <c r="AO251" s="92">
        <v>43718.891909722224</v>
      </c>
      <c r="AP251" s="89"/>
      <c r="AQ251" s="89" t="b">
        <v>1</v>
      </c>
      <c r="AR251" s="89" t="b">
        <v>1</v>
      </c>
      <c r="AS251" s="89" t="b">
        <v>0</v>
      </c>
      <c r="AT251" s="89"/>
      <c r="AU251" s="89">
        <v>1</v>
      </c>
      <c r="AV251" s="89"/>
      <c r="AW251" s="89" t="b">
        <v>0</v>
      </c>
      <c r="AX251" s="89" t="s">
        <v>2300</v>
      </c>
      <c r="AY251" s="95" t="str">
        <f>HYPERLINK("https://twitter.com/kissanviikset1")</f>
        <v>https://twitter.com/kissanviikset1</v>
      </c>
      <c r="AZ251" s="89" t="s">
        <v>66</v>
      </c>
      <c r="BA251" s="89" t="str">
        <f>REPLACE(INDEX(GroupVertices[Group],MATCH(Vertices[[#This Row],[Vertex]],GroupVertices[Vertex],0)),1,1,"")</f>
        <v>1</v>
      </c>
      <c r="BB251" s="49">
        <v>0</v>
      </c>
      <c r="BC251" s="50">
        <v>0</v>
      </c>
      <c r="BD251" s="49">
        <v>0</v>
      </c>
      <c r="BE251" s="50">
        <v>0</v>
      </c>
      <c r="BF251" s="49">
        <v>0</v>
      </c>
      <c r="BG251" s="50">
        <v>0</v>
      </c>
      <c r="BH251" s="49">
        <v>6</v>
      </c>
      <c r="BI251" s="50">
        <v>100</v>
      </c>
      <c r="BJ251" s="49">
        <v>6</v>
      </c>
      <c r="BK251" s="49" t="s">
        <v>5188</v>
      </c>
      <c r="BL251" s="49" t="s">
        <v>5188</v>
      </c>
      <c r="BM251" s="49" t="s">
        <v>693</v>
      </c>
      <c r="BN251" s="49" t="s">
        <v>693</v>
      </c>
      <c r="BO251" s="49"/>
      <c r="BP251" s="49"/>
      <c r="BQ251" s="123" t="s">
        <v>5635</v>
      </c>
      <c r="BR251" s="123" t="s">
        <v>5635</v>
      </c>
      <c r="BS251" s="123" t="s">
        <v>5785</v>
      </c>
      <c r="BT251" s="123" t="s">
        <v>5785</v>
      </c>
      <c r="BU251" s="2"/>
      <c r="BV251" s="3"/>
      <c r="BW251" s="3"/>
      <c r="BX251" s="3"/>
      <c r="BY251" s="3"/>
    </row>
    <row r="252" spans="1:77" ht="15">
      <c r="A252" s="65" t="s">
        <v>347</v>
      </c>
      <c r="B252" s="66"/>
      <c r="C252" s="66" t="s">
        <v>46</v>
      </c>
      <c r="D252" s="67"/>
      <c r="E252" s="69"/>
      <c r="F252" s="111" t="str">
        <f>HYPERLINK("https://pbs.twimg.com/profile_images/1422596984846880768/LfM8VixL_normal.jpg")</f>
        <v>https://pbs.twimg.com/profile_images/1422596984846880768/LfM8VixL_normal.jpg</v>
      </c>
      <c r="G252" s="66"/>
      <c r="H252" s="70" t="s">
        <v>347</v>
      </c>
      <c r="I252" s="71" t="s">
        <v>5834</v>
      </c>
      <c r="J252" s="71" t="s">
        <v>73</v>
      </c>
      <c r="K252" s="70" t="s">
        <v>2549</v>
      </c>
      <c r="L252" s="74">
        <v>1</v>
      </c>
      <c r="M252" s="75">
        <v>4029.662841796875</v>
      </c>
      <c r="N252" s="75">
        <v>1901.8074951171875</v>
      </c>
      <c r="O252" s="76"/>
      <c r="P252" s="77"/>
      <c r="Q252" s="77"/>
      <c r="R252" s="104"/>
      <c r="S252" s="49">
        <v>0</v>
      </c>
      <c r="T252" s="49">
        <v>4</v>
      </c>
      <c r="U252" s="50">
        <v>355.154119</v>
      </c>
      <c r="V252" s="50">
        <v>0.000976</v>
      </c>
      <c r="W252" s="50">
        <v>0.024396</v>
      </c>
      <c r="X252" s="50">
        <v>0.873152</v>
      </c>
      <c r="Y252" s="50">
        <v>0.16666666666666666</v>
      </c>
      <c r="Z252" s="50">
        <v>0</v>
      </c>
      <c r="AA252" s="72">
        <v>252</v>
      </c>
      <c r="AB252" s="72"/>
      <c r="AC252" s="73"/>
      <c r="AD252" s="89" t="s">
        <v>1723</v>
      </c>
      <c r="AE252" s="102" t="s">
        <v>1933</v>
      </c>
      <c r="AF252" s="89">
        <v>1216</v>
      </c>
      <c r="AG252" s="89">
        <v>515</v>
      </c>
      <c r="AH252" s="89">
        <v>11359</v>
      </c>
      <c r="AI252" s="89">
        <v>15405</v>
      </c>
      <c r="AJ252" s="89"/>
      <c r="AK252" s="89" t="s">
        <v>2171</v>
      </c>
      <c r="AL252" s="89" t="s">
        <v>2223</v>
      </c>
      <c r="AM252" s="89"/>
      <c r="AN252" s="89"/>
      <c r="AO252" s="92">
        <v>44411.669490740744</v>
      </c>
      <c r="AP252" s="95" t="str">
        <f>HYPERLINK("https://pbs.twimg.com/profile_banners/1422588649720451076/1628008527")</f>
        <v>https://pbs.twimg.com/profile_banners/1422588649720451076/1628008527</v>
      </c>
      <c r="AQ252" s="89" t="b">
        <v>1</v>
      </c>
      <c r="AR252" s="89" t="b">
        <v>0</v>
      </c>
      <c r="AS252" s="89" t="b">
        <v>0</v>
      </c>
      <c r="AT252" s="89"/>
      <c r="AU252" s="89">
        <v>1</v>
      </c>
      <c r="AV252" s="89"/>
      <c r="AW252" s="89" t="b">
        <v>0</v>
      </c>
      <c r="AX252" s="89" t="s">
        <v>2300</v>
      </c>
      <c r="AY252" s="95" t="str">
        <f>HYPERLINK("https://twitter.com/coolseppo")</f>
        <v>https://twitter.com/coolseppo</v>
      </c>
      <c r="AZ252" s="89" t="s">
        <v>66</v>
      </c>
      <c r="BA252" s="89" t="str">
        <f>REPLACE(INDEX(GroupVertices[Group],MATCH(Vertices[[#This Row],[Vertex]],GroupVertices[Vertex],0)),1,1,"")</f>
        <v>3</v>
      </c>
      <c r="BB252" s="49">
        <v>0</v>
      </c>
      <c r="BC252" s="50">
        <v>0</v>
      </c>
      <c r="BD252" s="49">
        <v>0</v>
      </c>
      <c r="BE252" s="50">
        <v>0</v>
      </c>
      <c r="BF252" s="49">
        <v>0</v>
      </c>
      <c r="BG252" s="50">
        <v>0</v>
      </c>
      <c r="BH252" s="49">
        <v>19</v>
      </c>
      <c r="BI252" s="50">
        <v>100</v>
      </c>
      <c r="BJ252" s="49">
        <v>19</v>
      </c>
      <c r="BK252" s="49" t="s">
        <v>5188</v>
      </c>
      <c r="BL252" s="49" t="s">
        <v>5188</v>
      </c>
      <c r="BM252" s="49" t="s">
        <v>693</v>
      </c>
      <c r="BN252" s="49" t="s">
        <v>693</v>
      </c>
      <c r="BO252" s="49" t="s">
        <v>712</v>
      </c>
      <c r="BP252" s="49" t="s">
        <v>712</v>
      </c>
      <c r="BQ252" s="123" t="s">
        <v>5636</v>
      </c>
      <c r="BR252" s="123" t="s">
        <v>5682</v>
      </c>
      <c r="BS252" s="123" t="s">
        <v>5786</v>
      </c>
      <c r="BT252" s="123" t="s">
        <v>5786</v>
      </c>
      <c r="BU252" s="2"/>
      <c r="BV252" s="3"/>
      <c r="BW252" s="3"/>
      <c r="BX252" s="3"/>
      <c r="BY252" s="3"/>
    </row>
    <row r="253" spans="1:77" ht="15">
      <c r="A253" s="65" t="s">
        <v>496</v>
      </c>
      <c r="B253" s="66"/>
      <c r="C253" s="66" t="s">
        <v>46</v>
      </c>
      <c r="D253" s="67">
        <v>10</v>
      </c>
      <c r="E253" s="69"/>
      <c r="F253" s="111" t="str">
        <f>HYPERLINK("https://pbs.twimg.com/profile_images/1120247376197881856/DhayeCGd_normal.png")</f>
        <v>https://pbs.twimg.com/profile_images/1120247376197881856/DhayeCGd_normal.png</v>
      </c>
      <c r="G253" s="66"/>
      <c r="H253" s="70" t="s">
        <v>496</v>
      </c>
      <c r="I253" s="71" t="s">
        <v>5822</v>
      </c>
      <c r="J253" s="71" t="s">
        <v>75</v>
      </c>
      <c r="K253" s="70" t="s">
        <v>2550</v>
      </c>
      <c r="L253" s="74">
        <v>477.0952380952381</v>
      </c>
      <c r="M253" s="75">
        <v>6796.87255859375</v>
      </c>
      <c r="N253" s="75">
        <v>9537.8388671875</v>
      </c>
      <c r="O253" s="76"/>
      <c r="P253" s="77"/>
      <c r="Q253" s="77"/>
      <c r="R253" s="104"/>
      <c r="S253" s="49">
        <v>1</v>
      </c>
      <c r="T253" s="49">
        <v>0</v>
      </c>
      <c r="U253" s="50">
        <v>0</v>
      </c>
      <c r="V253" s="50">
        <v>0.000865</v>
      </c>
      <c r="W253" s="50">
        <v>0.001108</v>
      </c>
      <c r="X253" s="50">
        <v>0.38086</v>
      </c>
      <c r="Y253" s="50">
        <v>0</v>
      </c>
      <c r="Z253" s="50">
        <v>0</v>
      </c>
      <c r="AA253" s="72">
        <v>253</v>
      </c>
      <c r="AB253" s="72"/>
      <c r="AC253" s="73"/>
      <c r="AD253" s="89" t="s">
        <v>1724</v>
      </c>
      <c r="AE253" s="102" t="s">
        <v>1422</v>
      </c>
      <c r="AF253" s="89">
        <v>142</v>
      </c>
      <c r="AG253" s="89">
        <v>232</v>
      </c>
      <c r="AH253" s="89">
        <v>1375</v>
      </c>
      <c r="AI253" s="89">
        <v>2358</v>
      </c>
      <c r="AJ253" s="89"/>
      <c r="AK253" s="89" t="s">
        <v>2172</v>
      </c>
      <c r="AL253" s="89"/>
      <c r="AM253" s="89"/>
      <c r="AN253" s="89"/>
      <c r="AO253" s="92">
        <v>41277.47125</v>
      </c>
      <c r="AP253" s="95" t="str">
        <f>HYPERLINK("https://pbs.twimg.com/profile_banners/1057519880/1555927934")</f>
        <v>https://pbs.twimg.com/profile_banners/1057519880/1555927934</v>
      </c>
      <c r="AQ253" s="89" t="b">
        <v>1</v>
      </c>
      <c r="AR253" s="89" t="b">
        <v>0</v>
      </c>
      <c r="AS253" s="89" t="b">
        <v>0</v>
      </c>
      <c r="AT253" s="89"/>
      <c r="AU253" s="89">
        <v>1</v>
      </c>
      <c r="AV253" s="95" t="str">
        <f>HYPERLINK("https://abs.twimg.com/images/themes/theme1/bg.png")</f>
        <v>https://abs.twimg.com/images/themes/theme1/bg.png</v>
      </c>
      <c r="AW253" s="89" t="b">
        <v>0</v>
      </c>
      <c r="AX253" s="89" t="s">
        <v>2300</v>
      </c>
      <c r="AY253" s="95" t="str">
        <f>HYPERLINK("https://twitter.com/leanjuha")</f>
        <v>https://twitter.com/leanjuha</v>
      </c>
      <c r="AZ253" s="89" t="s">
        <v>65</v>
      </c>
      <c r="BA253" s="89" t="str">
        <f>REPLACE(INDEX(GroupVertices[Group],MATCH(Vertices[[#This Row],[Vertex]],GroupVertices[Vertex],0)),1,1,"")</f>
        <v>5</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5" t="s">
        <v>497</v>
      </c>
      <c r="B254" s="66"/>
      <c r="C254" s="66" t="s">
        <v>46</v>
      </c>
      <c r="D254" s="67">
        <v>10</v>
      </c>
      <c r="E254" s="69"/>
      <c r="F254" s="111" t="str">
        <f>HYPERLINK("https://pbs.twimg.com/profile_images/752710317172371456/5n3nFAK1_normal.jpg")</f>
        <v>https://pbs.twimg.com/profile_images/752710317172371456/5n3nFAK1_normal.jpg</v>
      </c>
      <c r="G254" s="66"/>
      <c r="H254" s="70" t="s">
        <v>497</v>
      </c>
      <c r="I254" s="71" t="s">
        <v>5822</v>
      </c>
      <c r="J254" s="71" t="s">
        <v>75</v>
      </c>
      <c r="K254" s="70" t="s">
        <v>2551</v>
      </c>
      <c r="L254" s="74">
        <v>477.0952380952381</v>
      </c>
      <c r="M254" s="75">
        <v>6398.37158203125</v>
      </c>
      <c r="N254" s="75">
        <v>7656.56298828125</v>
      </c>
      <c r="O254" s="76"/>
      <c r="P254" s="77"/>
      <c r="Q254" s="77"/>
      <c r="R254" s="104"/>
      <c r="S254" s="49">
        <v>1</v>
      </c>
      <c r="T254" s="49">
        <v>0</v>
      </c>
      <c r="U254" s="50">
        <v>0</v>
      </c>
      <c r="V254" s="50">
        <v>0.000865</v>
      </c>
      <c r="W254" s="50">
        <v>0.001108</v>
      </c>
      <c r="X254" s="50">
        <v>0.38086</v>
      </c>
      <c r="Y254" s="50">
        <v>0</v>
      </c>
      <c r="Z254" s="50">
        <v>0</v>
      </c>
      <c r="AA254" s="72">
        <v>254</v>
      </c>
      <c r="AB254" s="72"/>
      <c r="AC254" s="73"/>
      <c r="AD254" s="89" t="s">
        <v>1725</v>
      </c>
      <c r="AE254" s="102" t="s">
        <v>1423</v>
      </c>
      <c r="AF254" s="89">
        <v>1982</v>
      </c>
      <c r="AG254" s="89">
        <v>1299</v>
      </c>
      <c r="AH254" s="89">
        <v>7419</v>
      </c>
      <c r="AI254" s="89">
        <v>8923</v>
      </c>
      <c r="AJ254" s="89"/>
      <c r="AK254" s="89" t="s">
        <v>2173</v>
      </c>
      <c r="AL254" s="89" t="s">
        <v>2234</v>
      </c>
      <c r="AM254" s="89"/>
      <c r="AN254" s="89"/>
      <c r="AO254" s="92">
        <v>42563.069398148145</v>
      </c>
      <c r="AP254" s="95" t="str">
        <f>HYPERLINK("https://pbs.twimg.com/profile_banners/752678848412590080/1614067660")</f>
        <v>https://pbs.twimg.com/profile_banners/752678848412590080/1614067660</v>
      </c>
      <c r="AQ254" s="89" t="b">
        <v>1</v>
      </c>
      <c r="AR254" s="89" t="b">
        <v>0</v>
      </c>
      <c r="AS254" s="89" t="b">
        <v>0</v>
      </c>
      <c r="AT254" s="89"/>
      <c r="AU254" s="89">
        <v>5</v>
      </c>
      <c r="AV254" s="89"/>
      <c r="AW254" s="89" t="b">
        <v>0</v>
      </c>
      <c r="AX254" s="89" t="s">
        <v>2300</v>
      </c>
      <c r="AY254" s="95" t="str">
        <f>HYPERLINK("https://twitter.com/vainionpaaeero")</f>
        <v>https://twitter.com/vainionpaaeero</v>
      </c>
      <c r="AZ254" s="89" t="s">
        <v>65</v>
      </c>
      <c r="BA254" s="89" t="str">
        <f>REPLACE(INDEX(GroupVertices[Group],MATCH(Vertices[[#This Row],[Vertex]],GroupVertices[Vertex],0)),1,1,"")</f>
        <v>5</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5" t="s">
        <v>498</v>
      </c>
      <c r="B255" s="66"/>
      <c r="C255" s="66" t="s">
        <v>64</v>
      </c>
      <c r="D255" s="67">
        <v>392.9842791621962</v>
      </c>
      <c r="E255" s="69"/>
      <c r="F255" s="111" t="str">
        <f>HYPERLINK("https://pbs.twimg.com/profile_images/1382397260592525321/KKGFBDm8_normal.jpg")</f>
        <v>https://pbs.twimg.com/profile_images/1382397260592525321/KKGFBDm8_normal.jpg</v>
      </c>
      <c r="G255" s="66"/>
      <c r="H255" s="70" t="s">
        <v>498</v>
      </c>
      <c r="I255" s="71" t="s">
        <v>5822</v>
      </c>
      <c r="J255" s="71" t="s">
        <v>75</v>
      </c>
      <c r="K255" s="70" t="s">
        <v>2552</v>
      </c>
      <c r="L255" s="74">
        <v>953.1904761904761</v>
      </c>
      <c r="M255" s="75">
        <v>6642.96142578125</v>
      </c>
      <c r="N255" s="75">
        <v>7818.38818359375</v>
      </c>
      <c r="O255" s="76"/>
      <c r="P255" s="77"/>
      <c r="Q255" s="77"/>
      <c r="R255" s="104"/>
      <c r="S255" s="49">
        <v>2</v>
      </c>
      <c r="T255" s="49">
        <v>0</v>
      </c>
      <c r="U255" s="50">
        <v>0</v>
      </c>
      <c r="V255" s="50">
        <v>0.000879</v>
      </c>
      <c r="W255" s="50">
        <v>0.001315</v>
      </c>
      <c r="X255" s="50">
        <v>0.624528</v>
      </c>
      <c r="Y255" s="50">
        <v>1</v>
      </c>
      <c r="Z255" s="50">
        <v>0</v>
      </c>
      <c r="AA255" s="72">
        <v>255</v>
      </c>
      <c r="AB255" s="72"/>
      <c r="AC255" s="73"/>
      <c r="AD255" s="89" t="s">
        <v>1726</v>
      </c>
      <c r="AE255" s="102" t="s">
        <v>1934</v>
      </c>
      <c r="AF255" s="89">
        <v>404</v>
      </c>
      <c r="AG255" s="89">
        <v>447</v>
      </c>
      <c r="AH255" s="89">
        <v>3341</v>
      </c>
      <c r="AI255" s="89">
        <v>29493</v>
      </c>
      <c r="AJ255" s="89"/>
      <c r="AK255" s="89"/>
      <c r="AL255" s="89" t="s">
        <v>2221</v>
      </c>
      <c r="AM255" s="89"/>
      <c r="AN255" s="89"/>
      <c r="AO255" s="92">
        <v>44260.925775462965</v>
      </c>
      <c r="AP255" s="89"/>
      <c r="AQ255" s="89" t="b">
        <v>1</v>
      </c>
      <c r="AR255" s="89" t="b">
        <v>0</v>
      </c>
      <c r="AS255" s="89" t="b">
        <v>0</v>
      </c>
      <c r="AT255" s="89"/>
      <c r="AU255" s="89">
        <v>0</v>
      </c>
      <c r="AV255" s="89"/>
      <c r="AW255" s="89" t="b">
        <v>0</v>
      </c>
      <c r="AX255" s="89" t="s">
        <v>2300</v>
      </c>
      <c r="AY255" s="95" t="str">
        <f>HYPERLINK("https://twitter.com/anni_lahti_")</f>
        <v>https://twitter.com/anni_lahti_</v>
      </c>
      <c r="AZ255" s="89" t="s">
        <v>65</v>
      </c>
      <c r="BA255" s="89" t="str">
        <f>REPLACE(INDEX(GroupVertices[Group],MATCH(Vertices[[#This Row],[Vertex]],GroupVertices[Vertex],0)),1,1,"")</f>
        <v>5</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5" t="s">
        <v>499</v>
      </c>
      <c r="B256" s="66"/>
      <c r="C256" s="66" t="s">
        <v>64</v>
      </c>
      <c r="D256" s="67">
        <v>392.9842791621962</v>
      </c>
      <c r="E256" s="69"/>
      <c r="F256" s="111" t="str">
        <f>HYPERLINK("https://pbs.twimg.com/profile_images/1374096626491478020/3x3egOwX_normal.jpg")</f>
        <v>https://pbs.twimg.com/profile_images/1374096626491478020/3x3egOwX_normal.jpg</v>
      </c>
      <c r="G256" s="66"/>
      <c r="H256" s="70" t="s">
        <v>499</v>
      </c>
      <c r="I256" s="71" t="s">
        <v>5822</v>
      </c>
      <c r="J256" s="71" t="s">
        <v>75</v>
      </c>
      <c r="K256" s="70" t="s">
        <v>2553</v>
      </c>
      <c r="L256" s="74">
        <v>953.1904761904761</v>
      </c>
      <c r="M256" s="75">
        <v>6756.46923828125</v>
      </c>
      <c r="N256" s="75">
        <v>8069.86572265625</v>
      </c>
      <c r="O256" s="76"/>
      <c r="P256" s="77"/>
      <c r="Q256" s="77"/>
      <c r="R256" s="104"/>
      <c r="S256" s="49">
        <v>2</v>
      </c>
      <c r="T256" s="49">
        <v>0</v>
      </c>
      <c r="U256" s="50">
        <v>0</v>
      </c>
      <c r="V256" s="50">
        <v>0.000879</v>
      </c>
      <c r="W256" s="50">
        <v>0.001315</v>
      </c>
      <c r="X256" s="50">
        <v>0.624528</v>
      </c>
      <c r="Y256" s="50">
        <v>1</v>
      </c>
      <c r="Z256" s="50">
        <v>0</v>
      </c>
      <c r="AA256" s="72">
        <v>256</v>
      </c>
      <c r="AB256" s="72"/>
      <c r="AC256" s="73"/>
      <c r="AD256" s="89" t="s">
        <v>1727</v>
      </c>
      <c r="AE256" s="102" t="s">
        <v>1935</v>
      </c>
      <c r="AF256" s="89">
        <v>252</v>
      </c>
      <c r="AG256" s="89">
        <v>73</v>
      </c>
      <c r="AH256" s="89">
        <v>8877</v>
      </c>
      <c r="AI256" s="89">
        <v>3337</v>
      </c>
      <c r="AJ256" s="89"/>
      <c r="AK256" s="89" t="s">
        <v>2174</v>
      </c>
      <c r="AL256" s="89"/>
      <c r="AM256" s="89"/>
      <c r="AN256" s="89"/>
      <c r="AO256" s="92">
        <v>43698.88972222222</v>
      </c>
      <c r="AP256" s="95" t="str">
        <f>HYPERLINK("https://pbs.twimg.com/profile_banners/1164286263496761346/1616445748")</f>
        <v>https://pbs.twimg.com/profile_banners/1164286263496761346/1616445748</v>
      </c>
      <c r="AQ256" s="89" t="b">
        <v>1</v>
      </c>
      <c r="AR256" s="89" t="b">
        <v>0</v>
      </c>
      <c r="AS256" s="89" t="b">
        <v>0</v>
      </c>
      <c r="AT256" s="89"/>
      <c r="AU256" s="89">
        <v>2</v>
      </c>
      <c r="AV256" s="89"/>
      <c r="AW256" s="89" t="b">
        <v>0</v>
      </c>
      <c r="AX256" s="89" t="s">
        <v>2300</v>
      </c>
      <c r="AY256" s="95" t="str">
        <f>HYPERLINK("https://twitter.com/jarnovirtanen2")</f>
        <v>https://twitter.com/jarnovirtanen2</v>
      </c>
      <c r="AZ256" s="89" t="s">
        <v>65</v>
      </c>
      <c r="BA256" s="89" t="str">
        <f>REPLACE(INDEX(GroupVertices[Group],MATCH(Vertices[[#This Row],[Vertex]],GroupVertices[Vertex],0)),1,1,"")</f>
        <v>5</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5" t="s">
        <v>500</v>
      </c>
      <c r="B257" s="66"/>
      <c r="C257" s="66" t="s">
        <v>64</v>
      </c>
      <c r="D257" s="67">
        <v>392.9842791621962</v>
      </c>
      <c r="E257" s="69"/>
      <c r="F257" s="111" t="str">
        <f>HYPERLINK("https://pbs.twimg.com/profile_images/1330963105141170176/3l0OsMh9_normal.jpg")</f>
        <v>https://pbs.twimg.com/profile_images/1330963105141170176/3l0OsMh9_normal.jpg</v>
      </c>
      <c r="G257" s="66"/>
      <c r="H257" s="70" t="s">
        <v>500</v>
      </c>
      <c r="I257" s="71" t="s">
        <v>5822</v>
      </c>
      <c r="J257" s="71" t="s">
        <v>75</v>
      </c>
      <c r="K257" s="70" t="s">
        <v>2554</v>
      </c>
      <c r="L257" s="74">
        <v>953.1904761904761</v>
      </c>
      <c r="M257" s="75">
        <v>6381.05322265625</v>
      </c>
      <c r="N257" s="75">
        <v>8006.5654296875</v>
      </c>
      <c r="O257" s="76"/>
      <c r="P257" s="77"/>
      <c r="Q257" s="77"/>
      <c r="R257" s="104"/>
      <c r="S257" s="49">
        <v>2</v>
      </c>
      <c r="T257" s="49">
        <v>0</v>
      </c>
      <c r="U257" s="50">
        <v>0</v>
      </c>
      <c r="V257" s="50">
        <v>0.000879</v>
      </c>
      <c r="W257" s="50">
        <v>0.001315</v>
      </c>
      <c r="X257" s="50">
        <v>0.624528</v>
      </c>
      <c r="Y257" s="50">
        <v>1</v>
      </c>
      <c r="Z257" s="50">
        <v>0</v>
      </c>
      <c r="AA257" s="72">
        <v>257</v>
      </c>
      <c r="AB257" s="72"/>
      <c r="AC257" s="73"/>
      <c r="AD257" s="89" t="s">
        <v>1728</v>
      </c>
      <c r="AE257" s="102" t="s">
        <v>1424</v>
      </c>
      <c r="AF257" s="89">
        <v>367</v>
      </c>
      <c r="AG257" s="89">
        <v>18688</v>
      </c>
      <c r="AH257" s="89">
        <v>49836</v>
      </c>
      <c r="AI257" s="89">
        <v>74202</v>
      </c>
      <c r="AJ257" s="89"/>
      <c r="AK257" s="89" t="s">
        <v>2175</v>
      </c>
      <c r="AL257" s="89"/>
      <c r="AM257" s="95" t="str">
        <f>HYPERLINK("https://t.co/rEB3O06qHa")</f>
        <v>https://t.co/rEB3O06qHa</v>
      </c>
      <c r="AN257" s="89"/>
      <c r="AO257" s="92">
        <v>40590.412569444445</v>
      </c>
      <c r="AP257" s="95" t="str">
        <f>HYPERLINK("https://pbs.twimg.com/profile_banners/252987054/1602224423")</f>
        <v>https://pbs.twimg.com/profile_banners/252987054/1602224423</v>
      </c>
      <c r="AQ257" s="89" t="b">
        <v>0</v>
      </c>
      <c r="AR257" s="89" t="b">
        <v>0</v>
      </c>
      <c r="AS257" s="89" t="b">
        <v>0</v>
      </c>
      <c r="AT257" s="89"/>
      <c r="AU257" s="89">
        <v>267</v>
      </c>
      <c r="AV257" s="95" t="str">
        <f>HYPERLINK("https://abs.twimg.com/images/themes/theme1/bg.png")</f>
        <v>https://abs.twimg.com/images/themes/theme1/bg.png</v>
      </c>
      <c r="AW257" s="89" t="b">
        <v>1</v>
      </c>
      <c r="AX257" s="89" t="s">
        <v>2300</v>
      </c>
      <c r="AY257" s="95" t="str">
        <f>HYPERLINK("https://twitter.com/satuhassi")</f>
        <v>https://twitter.com/satuhassi</v>
      </c>
      <c r="AZ257" s="89" t="s">
        <v>65</v>
      </c>
      <c r="BA257" s="89" t="str">
        <f>REPLACE(INDEX(GroupVertices[Group],MATCH(Vertices[[#This Row],[Vertex]],GroupVertices[Vertex],0)),1,1,"")</f>
        <v>5</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5" t="s">
        <v>351</v>
      </c>
      <c r="B258" s="66"/>
      <c r="C258" s="66" t="s">
        <v>46</v>
      </c>
      <c r="D258" s="67"/>
      <c r="E258" s="69"/>
      <c r="F258" s="111" t="str">
        <f>HYPERLINK("https://pbs.twimg.com/profile_images/1415055912071581698/YZ18hp60_normal.jpg")</f>
        <v>https://pbs.twimg.com/profile_images/1415055912071581698/YZ18hp60_normal.jpg</v>
      </c>
      <c r="G258" s="66"/>
      <c r="H258" s="70" t="s">
        <v>351</v>
      </c>
      <c r="I258" s="71" t="s">
        <v>5818</v>
      </c>
      <c r="J258" s="71" t="s">
        <v>73</v>
      </c>
      <c r="K258" s="70" t="s">
        <v>2555</v>
      </c>
      <c r="L258" s="74">
        <v>1</v>
      </c>
      <c r="M258" s="75">
        <v>1653.6484375</v>
      </c>
      <c r="N258" s="75">
        <v>5401.03759765625</v>
      </c>
      <c r="O258" s="76"/>
      <c r="P258" s="77"/>
      <c r="Q258" s="77"/>
      <c r="R258" s="104"/>
      <c r="S258" s="49">
        <v>0</v>
      </c>
      <c r="T258" s="49">
        <v>1</v>
      </c>
      <c r="U258" s="50">
        <v>0</v>
      </c>
      <c r="V258" s="50">
        <v>0.000926</v>
      </c>
      <c r="W258" s="50">
        <v>0.003628</v>
      </c>
      <c r="X258" s="50">
        <v>0.395207</v>
      </c>
      <c r="Y258" s="50">
        <v>0</v>
      </c>
      <c r="Z258" s="50">
        <v>0</v>
      </c>
      <c r="AA258" s="72">
        <v>258</v>
      </c>
      <c r="AB258" s="72"/>
      <c r="AC258" s="73"/>
      <c r="AD258" s="89" t="s">
        <v>1729</v>
      </c>
      <c r="AE258" s="102" t="s">
        <v>1936</v>
      </c>
      <c r="AF258" s="89">
        <v>585</v>
      </c>
      <c r="AG258" s="89">
        <v>863</v>
      </c>
      <c r="AH258" s="89">
        <v>2605</v>
      </c>
      <c r="AI258" s="89">
        <v>3439</v>
      </c>
      <c r="AJ258" s="89"/>
      <c r="AK258" s="89" t="s">
        <v>2176</v>
      </c>
      <c r="AL258" s="89" t="s">
        <v>2290</v>
      </c>
      <c r="AM258" s="89"/>
      <c r="AN258" s="89"/>
      <c r="AO258" s="92">
        <v>42869.68902777778</v>
      </c>
      <c r="AP258" s="95" t="str">
        <f>HYPERLINK("https://pbs.twimg.com/profile_banners/863794081650135040/1592569200")</f>
        <v>https://pbs.twimg.com/profile_banners/863794081650135040/1592569200</v>
      </c>
      <c r="AQ258" s="89" t="b">
        <v>1</v>
      </c>
      <c r="AR258" s="89" t="b">
        <v>0</v>
      </c>
      <c r="AS258" s="89" t="b">
        <v>0</v>
      </c>
      <c r="AT258" s="89"/>
      <c r="AU258" s="89">
        <v>6</v>
      </c>
      <c r="AV258" s="89"/>
      <c r="AW258" s="89" t="b">
        <v>0</v>
      </c>
      <c r="AX258" s="89" t="s">
        <v>2300</v>
      </c>
      <c r="AY258" s="95" t="str">
        <f>HYPERLINK("https://twitter.com/jared_lyu")</f>
        <v>https://twitter.com/jared_lyu</v>
      </c>
      <c r="AZ258" s="89" t="s">
        <v>66</v>
      </c>
      <c r="BA258" s="89" t="str">
        <f>REPLACE(INDEX(GroupVertices[Group],MATCH(Vertices[[#This Row],[Vertex]],GroupVertices[Vertex],0)),1,1,"")</f>
        <v>1</v>
      </c>
      <c r="BB258" s="49">
        <v>0</v>
      </c>
      <c r="BC258" s="50">
        <v>0</v>
      </c>
      <c r="BD258" s="49">
        <v>0</v>
      </c>
      <c r="BE258" s="50">
        <v>0</v>
      </c>
      <c r="BF258" s="49">
        <v>0</v>
      </c>
      <c r="BG258" s="50">
        <v>0</v>
      </c>
      <c r="BH258" s="49">
        <v>6</v>
      </c>
      <c r="BI258" s="50">
        <v>100</v>
      </c>
      <c r="BJ258" s="49">
        <v>6</v>
      </c>
      <c r="BK258" s="49" t="s">
        <v>5188</v>
      </c>
      <c r="BL258" s="49" t="s">
        <v>5188</v>
      </c>
      <c r="BM258" s="49" t="s">
        <v>693</v>
      </c>
      <c r="BN258" s="49" t="s">
        <v>693</v>
      </c>
      <c r="BO258" s="49"/>
      <c r="BP258" s="49"/>
      <c r="BQ258" s="123" t="s">
        <v>5635</v>
      </c>
      <c r="BR258" s="123" t="s">
        <v>5635</v>
      </c>
      <c r="BS258" s="123" t="s">
        <v>5785</v>
      </c>
      <c r="BT258" s="123" t="s">
        <v>5785</v>
      </c>
      <c r="BU258" s="2"/>
      <c r="BV258" s="3"/>
      <c r="BW258" s="3"/>
      <c r="BX258" s="3"/>
      <c r="BY258" s="3"/>
    </row>
    <row r="259" spans="1:77" ht="15">
      <c r="A259" s="65" t="s">
        <v>352</v>
      </c>
      <c r="B259" s="66"/>
      <c r="C259" s="66" t="s">
        <v>46</v>
      </c>
      <c r="D259" s="67">
        <v>10</v>
      </c>
      <c r="E259" s="69"/>
      <c r="F259" s="111" t="str">
        <f>HYPERLINK("https://pbs.twimg.com/profile_images/1449458188156379138/HPAk-gpN_normal.jpg")</f>
        <v>https://pbs.twimg.com/profile_images/1449458188156379138/HPAk-gpN_normal.jpg</v>
      </c>
      <c r="G259" s="66"/>
      <c r="H259" s="70" t="s">
        <v>352</v>
      </c>
      <c r="I259" s="71" t="s">
        <v>5834</v>
      </c>
      <c r="J259" s="71" t="s">
        <v>73</v>
      </c>
      <c r="K259" s="70" t="s">
        <v>2556</v>
      </c>
      <c r="L259" s="74">
        <v>477.0952380952381</v>
      </c>
      <c r="M259" s="75">
        <v>3901.72216796875</v>
      </c>
      <c r="N259" s="75">
        <v>3320.04833984375</v>
      </c>
      <c r="O259" s="76"/>
      <c r="P259" s="77"/>
      <c r="Q259" s="77"/>
      <c r="R259" s="104"/>
      <c r="S259" s="49">
        <v>1</v>
      </c>
      <c r="T259" s="49">
        <v>3</v>
      </c>
      <c r="U259" s="50">
        <v>0.111111</v>
      </c>
      <c r="V259" s="50">
        <v>0.000929</v>
      </c>
      <c r="W259" s="50">
        <v>0.024819</v>
      </c>
      <c r="X259" s="50">
        <v>0.797245</v>
      </c>
      <c r="Y259" s="50">
        <v>0.4166666666666667</v>
      </c>
      <c r="Z259" s="50">
        <v>0</v>
      </c>
      <c r="AA259" s="72">
        <v>259</v>
      </c>
      <c r="AB259" s="72"/>
      <c r="AC259" s="73"/>
      <c r="AD259" s="89" t="s">
        <v>1730</v>
      </c>
      <c r="AE259" s="102" t="s">
        <v>1937</v>
      </c>
      <c r="AF259" s="89">
        <v>2677</v>
      </c>
      <c r="AG259" s="89">
        <v>1781</v>
      </c>
      <c r="AH259" s="89">
        <v>7380</v>
      </c>
      <c r="AI259" s="89">
        <v>14445</v>
      </c>
      <c r="AJ259" s="89"/>
      <c r="AK259" s="89" t="s">
        <v>2177</v>
      </c>
      <c r="AL259" s="89" t="s">
        <v>2223</v>
      </c>
      <c r="AM259" s="89"/>
      <c r="AN259" s="89"/>
      <c r="AO259" s="92">
        <v>44192.6469212963</v>
      </c>
      <c r="AP259" s="95" t="str">
        <f>HYPERLINK("https://pbs.twimg.com/profile_banners/1343217806075195397/1610275299")</f>
        <v>https://pbs.twimg.com/profile_banners/1343217806075195397/1610275299</v>
      </c>
      <c r="AQ259" s="89" t="b">
        <v>1</v>
      </c>
      <c r="AR259" s="89" t="b">
        <v>0</v>
      </c>
      <c r="AS259" s="89" t="b">
        <v>0</v>
      </c>
      <c r="AT259" s="89"/>
      <c r="AU259" s="89">
        <v>2</v>
      </c>
      <c r="AV259" s="89"/>
      <c r="AW259" s="89" t="b">
        <v>0</v>
      </c>
      <c r="AX259" s="89" t="s">
        <v>2300</v>
      </c>
      <c r="AY259" s="95" t="str">
        <f>HYPERLINK("https://twitter.com/paulie880")</f>
        <v>https://twitter.com/paulie880</v>
      </c>
      <c r="AZ259" s="89" t="s">
        <v>66</v>
      </c>
      <c r="BA259" s="89" t="str">
        <f>REPLACE(INDEX(GroupVertices[Group],MATCH(Vertices[[#This Row],[Vertex]],GroupVertices[Vertex],0)),1,1,"")</f>
        <v>3</v>
      </c>
      <c r="BB259" s="49">
        <v>0</v>
      </c>
      <c r="BC259" s="50">
        <v>0</v>
      </c>
      <c r="BD259" s="49">
        <v>0</v>
      </c>
      <c r="BE259" s="50">
        <v>0</v>
      </c>
      <c r="BF259" s="49">
        <v>0</v>
      </c>
      <c r="BG259" s="50">
        <v>0</v>
      </c>
      <c r="BH259" s="49">
        <v>13</v>
      </c>
      <c r="BI259" s="50">
        <v>100</v>
      </c>
      <c r="BJ259" s="49">
        <v>13</v>
      </c>
      <c r="BK259" s="49"/>
      <c r="BL259" s="49"/>
      <c r="BM259" s="49"/>
      <c r="BN259" s="49"/>
      <c r="BO259" s="49" t="s">
        <v>712</v>
      </c>
      <c r="BP259" s="49" t="s">
        <v>712</v>
      </c>
      <c r="BQ259" s="123" t="s">
        <v>5561</v>
      </c>
      <c r="BR259" s="123" t="s">
        <v>5561</v>
      </c>
      <c r="BS259" s="123" t="s">
        <v>5713</v>
      </c>
      <c r="BT259" s="123" t="s">
        <v>5713</v>
      </c>
      <c r="BU259" s="2"/>
      <c r="BV259" s="3"/>
      <c r="BW259" s="3"/>
      <c r="BX259" s="3"/>
      <c r="BY259" s="3"/>
    </row>
    <row r="260" spans="1:77" ht="15">
      <c r="A260" s="65" t="s">
        <v>353</v>
      </c>
      <c r="B260" s="66"/>
      <c r="C260" s="66" t="s">
        <v>46</v>
      </c>
      <c r="D260" s="67"/>
      <c r="E260" s="69"/>
      <c r="F260" s="111" t="str">
        <f>HYPERLINK("https://pbs.twimg.com/profile_images/1447836349642461188/Mc3vK-as_normal.jpg")</f>
        <v>https://pbs.twimg.com/profile_images/1447836349642461188/Mc3vK-as_normal.jpg</v>
      </c>
      <c r="G260" s="66"/>
      <c r="H260" s="70" t="s">
        <v>353</v>
      </c>
      <c r="I260" s="71" t="s">
        <v>5834</v>
      </c>
      <c r="J260" s="71" t="s">
        <v>73</v>
      </c>
      <c r="K260" s="70" t="s">
        <v>2557</v>
      </c>
      <c r="L260" s="74">
        <v>1</v>
      </c>
      <c r="M260" s="75">
        <v>3649.14794921875</v>
      </c>
      <c r="N260" s="75">
        <v>3263.773681640625</v>
      </c>
      <c r="O260" s="76"/>
      <c r="P260" s="77"/>
      <c r="Q260" s="77"/>
      <c r="R260" s="104"/>
      <c r="S260" s="49">
        <v>0</v>
      </c>
      <c r="T260" s="49">
        <v>10</v>
      </c>
      <c r="U260" s="50">
        <v>1401.839735</v>
      </c>
      <c r="V260" s="50">
        <v>0.001028</v>
      </c>
      <c r="W260" s="50">
        <v>0.034717</v>
      </c>
      <c r="X260" s="50">
        <v>1.991765</v>
      </c>
      <c r="Y260" s="50">
        <v>0.1</v>
      </c>
      <c r="Z260" s="50">
        <v>0</v>
      </c>
      <c r="AA260" s="72">
        <v>260</v>
      </c>
      <c r="AB260" s="72"/>
      <c r="AC260" s="73"/>
      <c r="AD260" s="89" t="s">
        <v>1731</v>
      </c>
      <c r="AE260" s="102" t="s">
        <v>1938</v>
      </c>
      <c r="AF260" s="89">
        <v>291</v>
      </c>
      <c r="AG260" s="89">
        <v>250</v>
      </c>
      <c r="AH260" s="89">
        <v>4296</v>
      </c>
      <c r="AI260" s="89">
        <v>4546</v>
      </c>
      <c r="AJ260" s="89"/>
      <c r="AK260" s="89" t="s">
        <v>2178</v>
      </c>
      <c r="AL260" s="89"/>
      <c r="AM260" s="89"/>
      <c r="AN260" s="89"/>
      <c r="AO260" s="92">
        <v>44462.83893518519</v>
      </c>
      <c r="AP260" s="95" t="str">
        <f>HYPERLINK("https://pbs.twimg.com/profile_banners/1441132131204227076/1634026083")</f>
        <v>https://pbs.twimg.com/profile_banners/1441132131204227076/1634026083</v>
      </c>
      <c r="AQ260" s="89" t="b">
        <v>1</v>
      </c>
      <c r="AR260" s="89" t="b">
        <v>0</v>
      </c>
      <c r="AS260" s="89" t="b">
        <v>0</v>
      </c>
      <c r="AT260" s="89"/>
      <c r="AU260" s="89">
        <v>0</v>
      </c>
      <c r="AV260" s="89"/>
      <c r="AW260" s="89" t="b">
        <v>0</v>
      </c>
      <c r="AX260" s="89" t="s">
        <v>2300</v>
      </c>
      <c r="AY260" s="95" t="str">
        <f>HYPERLINK("https://twitter.com/ekurzw")</f>
        <v>https://twitter.com/ekurzw</v>
      </c>
      <c r="AZ260" s="89" t="s">
        <v>66</v>
      </c>
      <c r="BA260" s="89" t="str">
        <f>REPLACE(INDEX(GroupVertices[Group],MATCH(Vertices[[#This Row],[Vertex]],GroupVertices[Vertex],0)),1,1,"")</f>
        <v>3</v>
      </c>
      <c r="BB260" s="49">
        <v>0</v>
      </c>
      <c r="BC260" s="50">
        <v>0</v>
      </c>
      <c r="BD260" s="49">
        <v>1</v>
      </c>
      <c r="BE260" s="50">
        <v>1.5384615384615385</v>
      </c>
      <c r="BF260" s="49">
        <v>0</v>
      </c>
      <c r="BG260" s="50">
        <v>0</v>
      </c>
      <c r="BH260" s="49">
        <v>64</v>
      </c>
      <c r="BI260" s="50">
        <v>98.46153846153847</v>
      </c>
      <c r="BJ260" s="49">
        <v>65</v>
      </c>
      <c r="BK260" s="49" t="s">
        <v>5188</v>
      </c>
      <c r="BL260" s="49" t="s">
        <v>5188</v>
      </c>
      <c r="BM260" s="49" t="s">
        <v>693</v>
      </c>
      <c r="BN260" s="49" t="s">
        <v>693</v>
      </c>
      <c r="BO260" s="49" t="s">
        <v>712</v>
      </c>
      <c r="BP260" s="49" t="s">
        <v>712</v>
      </c>
      <c r="BQ260" s="123" t="s">
        <v>5637</v>
      </c>
      <c r="BR260" s="123" t="s">
        <v>5683</v>
      </c>
      <c r="BS260" s="123" t="s">
        <v>5787</v>
      </c>
      <c r="BT260" s="123" t="s">
        <v>5787</v>
      </c>
      <c r="BU260" s="2"/>
      <c r="BV260" s="3"/>
      <c r="BW260" s="3"/>
      <c r="BX260" s="3"/>
      <c r="BY260" s="3"/>
    </row>
    <row r="261" spans="1:77" ht="15">
      <c r="A261" s="65" t="s">
        <v>354</v>
      </c>
      <c r="B261" s="66"/>
      <c r="C261" s="66" t="s">
        <v>46</v>
      </c>
      <c r="D261" s="67"/>
      <c r="E261" s="69"/>
      <c r="F261" s="111" t="str">
        <f>HYPERLINK("https://pbs.twimg.com/profile_images/1381607773956374531/xMyIqLWA_normal.jpg")</f>
        <v>https://pbs.twimg.com/profile_images/1381607773956374531/xMyIqLWA_normal.jpg</v>
      </c>
      <c r="G261" s="66"/>
      <c r="H261" s="70" t="s">
        <v>354</v>
      </c>
      <c r="I261" s="71" t="s">
        <v>5818</v>
      </c>
      <c r="J261" s="71" t="s">
        <v>73</v>
      </c>
      <c r="K261" s="70" t="s">
        <v>2558</v>
      </c>
      <c r="L261" s="74">
        <v>1</v>
      </c>
      <c r="M261" s="75">
        <v>1304.703857421875</v>
      </c>
      <c r="N261" s="75">
        <v>6704.1884765625</v>
      </c>
      <c r="O261" s="76"/>
      <c r="P261" s="77"/>
      <c r="Q261" s="77"/>
      <c r="R261" s="104"/>
      <c r="S261" s="49">
        <v>0</v>
      </c>
      <c r="T261" s="49">
        <v>1</v>
      </c>
      <c r="U261" s="50">
        <v>0</v>
      </c>
      <c r="V261" s="50">
        <v>0.000926</v>
      </c>
      <c r="W261" s="50">
        <v>0.003628</v>
      </c>
      <c r="X261" s="50">
        <v>0.395207</v>
      </c>
      <c r="Y261" s="50">
        <v>0</v>
      </c>
      <c r="Z261" s="50">
        <v>0</v>
      </c>
      <c r="AA261" s="72">
        <v>261</v>
      </c>
      <c r="AB261" s="72"/>
      <c r="AC261" s="73"/>
      <c r="AD261" s="89" t="s">
        <v>1732</v>
      </c>
      <c r="AE261" s="102" t="s">
        <v>1939</v>
      </c>
      <c r="AF261" s="89">
        <v>1647</v>
      </c>
      <c r="AG261" s="89">
        <v>588</v>
      </c>
      <c r="AH261" s="89">
        <v>5997</v>
      </c>
      <c r="AI261" s="89">
        <v>12681</v>
      </c>
      <c r="AJ261" s="89"/>
      <c r="AK261" s="89" t="s">
        <v>2179</v>
      </c>
      <c r="AL261" s="89" t="s">
        <v>2223</v>
      </c>
      <c r="AM261" s="89"/>
      <c r="AN261" s="89"/>
      <c r="AO261" s="92">
        <v>40805.8309375</v>
      </c>
      <c r="AP261" s="95" t="str">
        <f>HYPERLINK("https://pbs.twimg.com/profile_banners/376383821/1638092956")</f>
        <v>https://pbs.twimg.com/profile_banners/376383821/1638092956</v>
      </c>
      <c r="AQ261" s="89" t="b">
        <v>0</v>
      </c>
      <c r="AR261" s="89" t="b">
        <v>0</v>
      </c>
      <c r="AS261" s="89" t="b">
        <v>1</v>
      </c>
      <c r="AT261" s="89"/>
      <c r="AU261" s="89">
        <v>1</v>
      </c>
      <c r="AV261" s="95" t="str">
        <f>HYPERLINK("https://abs.twimg.com/images/themes/theme18/bg.gif")</f>
        <v>https://abs.twimg.com/images/themes/theme18/bg.gif</v>
      </c>
      <c r="AW261" s="89" t="b">
        <v>0</v>
      </c>
      <c r="AX261" s="89" t="s">
        <v>2300</v>
      </c>
      <c r="AY261" s="95" t="str">
        <f>HYPERLINK("https://twitter.com/p_suvi")</f>
        <v>https://twitter.com/p_suvi</v>
      </c>
      <c r="AZ261" s="89" t="s">
        <v>66</v>
      </c>
      <c r="BA261" s="89" t="str">
        <f>REPLACE(INDEX(GroupVertices[Group],MATCH(Vertices[[#This Row],[Vertex]],GroupVertices[Vertex],0)),1,1,"")</f>
        <v>1</v>
      </c>
      <c r="BB261" s="49">
        <v>0</v>
      </c>
      <c r="BC261" s="50">
        <v>0</v>
      </c>
      <c r="BD261" s="49">
        <v>0</v>
      </c>
      <c r="BE261" s="50">
        <v>0</v>
      </c>
      <c r="BF261" s="49">
        <v>0</v>
      </c>
      <c r="BG261" s="50">
        <v>0</v>
      </c>
      <c r="BH261" s="49">
        <v>6</v>
      </c>
      <c r="BI261" s="50">
        <v>100</v>
      </c>
      <c r="BJ261" s="49">
        <v>6</v>
      </c>
      <c r="BK261" s="49" t="s">
        <v>5188</v>
      </c>
      <c r="BL261" s="49" t="s">
        <v>5188</v>
      </c>
      <c r="BM261" s="49" t="s">
        <v>693</v>
      </c>
      <c r="BN261" s="49" t="s">
        <v>693</v>
      </c>
      <c r="BO261" s="49"/>
      <c r="BP261" s="49"/>
      <c r="BQ261" s="123" t="s">
        <v>5635</v>
      </c>
      <c r="BR261" s="123" t="s">
        <v>5635</v>
      </c>
      <c r="BS261" s="123" t="s">
        <v>5785</v>
      </c>
      <c r="BT261" s="123" t="s">
        <v>5785</v>
      </c>
      <c r="BU261" s="2"/>
      <c r="BV261" s="3"/>
      <c r="BW261" s="3"/>
      <c r="BX261" s="3"/>
      <c r="BY261" s="3"/>
    </row>
    <row r="262" spans="1:77" ht="15">
      <c r="A262" s="65" t="s">
        <v>355</v>
      </c>
      <c r="B262" s="66"/>
      <c r="C262" s="66" t="s">
        <v>46</v>
      </c>
      <c r="D262" s="67"/>
      <c r="E262" s="69"/>
      <c r="F262" s="111" t="str">
        <f>HYPERLINK("https://pbs.twimg.com/profile_images/1349233390600511488/9WFInaEF_normal.jpg")</f>
        <v>https://pbs.twimg.com/profile_images/1349233390600511488/9WFInaEF_normal.jpg</v>
      </c>
      <c r="G262" s="66"/>
      <c r="H262" s="70" t="s">
        <v>355</v>
      </c>
      <c r="I262" s="71" t="s">
        <v>5822</v>
      </c>
      <c r="J262" s="71" t="s">
        <v>73</v>
      </c>
      <c r="K262" s="70" t="s">
        <v>2559</v>
      </c>
      <c r="L262" s="74">
        <v>1</v>
      </c>
      <c r="M262" s="75">
        <v>6042.37353515625</v>
      </c>
      <c r="N262" s="75">
        <v>8181.7861328125</v>
      </c>
      <c r="O262" s="76"/>
      <c r="P262" s="77"/>
      <c r="Q262" s="77"/>
      <c r="R262" s="104"/>
      <c r="S262" s="49">
        <v>0</v>
      </c>
      <c r="T262" s="49">
        <v>2</v>
      </c>
      <c r="U262" s="50">
        <v>0</v>
      </c>
      <c r="V262" s="50">
        <v>0.000867</v>
      </c>
      <c r="W262" s="50">
        <v>0.001293</v>
      </c>
      <c r="X262" s="50">
        <v>0.647501</v>
      </c>
      <c r="Y262" s="50">
        <v>0.5</v>
      </c>
      <c r="Z262" s="50">
        <v>0</v>
      </c>
      <c r="AA262" s="72">
        <v>262</v>
      </c>
      <c r="AB262" s="72"/>
      <c r="AC262" s="73"/>
      <c r="AD262" s="89" t="s">
        <v>1733</v>
      </c>
      <c r="AE262" s="102" t="s">
        <v>1940</v>
      </c>
      <c r="AF262" s="89">
        <v>391</v>
      </c>
      <c r="AG262" s="89">
        <v>331</v>
      </c>
      <c r="AH262" s="89">
        <v>6307</v>
      </c>
      <c r="AI262" s="89">
        <v>33318</v>
      </c>
      <c r="AJ262" s="89"/>
      <c r="AK262" s="89" t="s">
        <v>2180</v>
      </c>
      <c r="AL262" s="89"/>
      <c r="AM262" s="89"/>
      <c r="AN262" s="89"/>
      <c r="AO262" s="92">
        <v>43840.59953703704</v>
      </c>
      <c r="AP262" s="89"/>
      <c r="AQ262" s="89" t="b">
        <v>1</v>
      </c>
      <c r="AR262" s="89" t="b">
        <v>0</v>
      </c>
      <c r="AS262" s="89" t="b">
        <v>0</v>
      </c>
      <c r="AT262" s="89"/>
      <c r="AU262" s="89">
        <v>1</v>
      </c>
      <c r="AV262" s="89"/>
      <c r="AW262" s="89" t="b">
        <v>0</v>
      </c>
      <c r="AX262" s="89" t="s">
        <v>2300</v>
      </c>
      <c r="AY262" s="95" t="str">
        <f>HYPERLINK("https://twitter.com/pauliin32733008")</f>
        <v>https://twitter.com/pauliin32733008</v>
      </c>
      <c r="AZ262" s="89" t="s">
        <v>66</v>
      </c>
      <c r="BA262" s="89" t="str">
        <f>REPLACE(INDEX(GroupVertices[Group],MATCH(Vertices[[#This Row],[Vertex]],GroupVertices[Vertex],0)),1,1,"")</f>
        <v>5</v>
      </c>
      <c r="BB262" s="49">
        <v>1</v>
      </c>
      <c r="BC262" s="50">
        <v>2.7027027027027026</v>
      </c>
      <c r="BD262" s="49">
        <v>0</v>
      </c>
      <c r="BE262" s="50">
        <v>0</v>
      </c>
      <c r="BF262" s="49">
        <v>0</v>
      </c>
      <c r="BG262" s="50">
        <v>0</v>
      </c>
      <c r="BH262" s="49">
        <v>36</v>
      </c>
      <c r="BI262" s="50">
        <v>97.29729729729729</v>
      </c>
      <c r="BJ262" s="49">
        <v>37</v>
      </c>
      <c r="BK262" s="49"/>
      <c r="BL262" s="49"/>
      <c r="BM262" s="49"/>
      <c r="BN262" s="49"/>
      <c r="BO262" s="49"/>
      <c r="BP262" s="49"/>
      <c r="BQ262" s="123" t="s">
        <v>5638</v>
      </c>
      <c r="BR262" s="123" t="s">
        <v>5638</v>
      </c>
      <c r="BS262" s="123" t="s">
        <v>5788</v>
      </c>
      <c r="BT262" s="123" t="s">
        <v>5788</v>
      </c>
      <c r="BU262" s="2"/>
      <c r="BV262" s="3"/>
      <c r="BW262" s="3"/>
      <c r="BX262" s="3"/>
      <c r="BY262" s="3"/>
    </row>
    <row r="263" spans="1:77" ht="15">
      <c r="A263" s="65" t="s">
        <v>501</v>
      </c>
      <c r="B263" s="66"/>
      <c r="C263" s="66" t="s">
        <v>64</v>
      </c>
      <c r="D263" s="67">
        <v>899.2619576868879</v>
      </c>
      <c r="E263" s="69"/>
      <c r="F263" s="111" t="str">
        <f>HYPERLINK("https://pbs.twimg.com/profile_images/1330674451428552709/lqJSdyP-_normal.jpg")</f>
        <v>https://pbs.twimg.com/profile_images/1330674451428552709/lqJSdyP-_normal.jpg</v>
      </c>
      <c r="G263" s="66"/>
      <c r="H263" s="70" t="s">
        <v>501</v>
      </c>
      <c r="I263" s="71" t="s">
        <v>5822</v>
      </c>
      <c r="J263" s="71" t="s">
        <v>75</v>
      </c>
      <c r="K263" s="70" t="s">
        <v>2560</v>
      </c>
      <c r="L263" s="74">
        <v>2381.4761904761904</v>
      </c>
      <c r="M263" s="75">
        <v>5857.958984375</v>
      </c>
      <c r="N263" s="75">
        <v>8431.0107421875</v>
      </c>
      <c r="O263" s="76"/>
      <c r="P263" s="77"/>
      <c r="Q263" s="77"/>
      <c r="R263" s="104"/>
      <c r="S263" s="49">
        <v>5</v>
      </c>
      <c r="T263" s="49">
        <v>0</v>
      </c>
      <c r="U263" s="50">
        <v>975</v>
      </c>
      <c r="V263" s="50">
        <v>0.00087</v>
      </c>
      <c r="W263" s="50">
        <v>0.001583</v>
      </c>
      <c r="X263" s="50">
        <v>1.568474</v>
      </c>
      <c r="Y263" s="50">
        <v>0.15</v>
      </c>
      <c r="Z263" s="50">
        <v>0</v>
      </c>
      <c r="AA263" s="72">
        <v>263</v>
      </c>
      <c r="AB263" s="72"/>
      <c r="AC263" s="73"/>
      <c r="AD263" s="89" t="s">
        <v>1734</v>
      </c>
      <c r="AE263" s="102" t="s">
        <v>1431</v>
      </c>
      <c r="AF263" s="89">
        <v>2844</v>
      </c>
      <c r="AG263" s="89">
        <v>134713</v>
      </c>
      <c r="AH263" s="89">
        <v>41223</v>
      </c>
      <c r="AI263" s="89">
        <v>62961</v>
      </c>
      <c r="AJ263" s="89"/>
      <c r="AK263" s="89"/>
      <c r="AL263" s="89" t="s">
        <v>2223</v>
      </c>
      <c r="AM263" s="89"/>
      <c r="AN263" s="89"/>
      <c r="AO263" s="92">
        <v>39899.86592592593</v>
      </c>
      <c r="AP263" s="95" t="str">
        <f>HYPERLINK("https://pbs.twimg.com/profile_banners/27093184/1451477315")</f>
        <v>https://pbs.twimg.com/profile_banners/27093184/1451477315</v>
      </c>
      <c r="AQ263" s="89" t="b">
        <v>0</v>
      </c>
      <c r="AR263" s="89" t="b">
        <v>0</v>
      </c>
      <c r="AS263" s="89" t="b">
        <v>1</v>
      </c>
      <c r="AT263" s="89"/>
      <c r="AU263" s="89">
        <v>441</v>
      </c>
      <c r="AV263" s="95" t="str">
        <f>HYPERLINK("https://abs.twimg.com/images/themes/theme2/bg.gif")</f>
        <v>https://abs.twimg.com/images/themes/theme2/bg.gif</v>
      </c>
      <c r="AW263" s="89" t="b">
        <v>0</v>
      </c>
      <c r="AX263" s="89" t="s">
        <v>2300</v>
      </c>
      <c r="AY263" s="95" t="str">
        <f>HYPERLINK("https://twitter.com/mikaeljungner")</f>
        <v>https://twitter.com/mikaeljungner</v>
      </c>
      <c r="AZ263" s="89" t="s">
        <v>65</v>
      </c>
      <c r="BA263" s="89" t="str">
        <f>REPLACE(INDEX(GroupVertices[Group],MATCH(Vertices[[#This Row],[Vertex]],GroupVertices[Vertex],0)),1,1,"")</f>
        <v>5</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5" t="s">
        <v>357</v>
      </c>
      <c r="B264" s="66"/>
      <c r="C264" s="66" t="s">
        <v>46</v>
      </c>
      <c r="D264" s="67"/>
      <c r="E264" s="69"/>
      <c r="F264" s="111" t="str">
        <f>HYPERLINK("https://pbs.twimg.com/profile_images/1165647981338607616/GdBQJ6S0_normal.jpg")</f>
        <v>https://pbs.twimg.com/profile_images/1165647981338607616/GdBQJ6S0_normal.jpg</v>
      </c>
      <c r="G264" s="66"/>
      <c r="H264" s="70" t="s">
        <v>357</v>
      </c>
      <c r="I264" s="71" t="s">
        <v>5818</v>
      </c>
      <c r="J264" s="71" t="s">
        <v>73</v>
      </c>
      <c r="K264" s="70" t="s">
        <v>2561</v>
      </c>
      <c r="L264" s="74">
        <v>1</v>
      </c>
      <c r="M264" s="75">
        <v>1937.4700927734375</v>
      </c>
      <c r="N264" s="75">
        <v>6483.3125</v>
      </c>
      <c r="O264" s="76"/>
      <c r="P264" s="77"/>
      <c r="Q264" s="77"/>
      <c r="R264" s="104"/>
      <c r="S264" s="49">
        <v>0</v>
      </c>
      <c r="T264" s="49">
        <v>2</v>
      </c>
      <c r="U264" s="50">
        <v>399.372269</v>
      </c>
      <c r="V264" s="50">
        <v>0.000989</v>
      </c>
      <c r="W264" s="50">
        <v>0.003825</v>
      </c>
      <c r="X264" s="50">
        <v>0.665173</v>
      </c>
      <c r="Y264" s="50">
        <v>0</v>
      </c>
      <c r="Z264" s="50">
        <v>0</v>
      </c>
      <c r="AA264" s="72">
        <v>264</v>
      </c>
      <c r="AB264" s="72"/>
      <c r="AC264" s="73"/>
      <c r="AD264" s="89" t="s">
        <v>1735</v>
      </c>
      <c r="AE264" s="102" t="s">
        <v>1941</v>
      </c>
      <c r="AF264" s="89">
        <v>279</v>
      </c>
      <c r="AG264" s="89">
        <v>182</v>
      </c>
      <c r="AH264" s="89">
        <v>30872</v>
      </c>
      <c r="AI264" s="89">
        <v>55293</v>
      </c>
      <c r="AJ264" s="89"/>
      <c r="AK264" s="89" t="s">
        <v>2181</v>
      </c>
      <c r="AL264" s="89"/>
      <c r="AM264" s="89"/>
      <c r="AN264" s="89"/>
      <c r="AO264" s="92">
        <v>43679.74349537037</v>
      </c>
      <c r="AP264" s="89"/>
      <c r="AQ264" s="89" t="b">
        <v>1</v>
      </c>
      <c r="AR264" s="89" t="b">
        <v>0</v>
      </c>
      <c r="AS264" s="89" t="b">
        <v>0</v>
      </c>
      <c r="AT264" s="89"/>
      <c r="AU264" s="89">
        <v>1</v>
      </c>
      <c r="AV264" s="89"/>
      <c r="AW264" s="89" t="b">
        <v>0</v>
      </c>
      <c r="AX264" s="89" t="s">
        <v>2300</v>
      </c>
      <c r="AY264" s="95" t="str">
        <f>HYPERLINK("https://twitter.com/jt36292090")</f>
        <v>https://twitter.com/jt36292090</v>
      </c>
      <c r="AZ264" s="89" t="s">
        <v>66</v>
      </c>
      <c r="BA264" s="89" t="str">
        <f>REPLACE(INDEX(GroupVertices[Group],MATCH(Vertices[[#This Row],[Vertex]],GroupVertices[Vertex],0)),1,1,"")</f>
        <v>1</v>
      </c>
      <c r="BB264" s="49">
        <v>0</v>
      </c>
      <c r="BC264" s="50">
        <v>0</v>
      </c>
      <c r="BD264" s="49">
        <v>0</v>
      </c>
      <c r="BE264" s="50">
        <v>0</v>
      </c>
      <c r="BF264" s="49">
        <v>0</v>
      </c>
      <c r="BG264" s="50">
        <v>0</v>
      </c>
      <c r="BH264" s="49">
        <v>22</v>
      </c>
      <c r="BI264" s="50">
        <v>100</v>
      </c>
      <c r="BJ264" s="49">
        <v>22</v>
      </c>
      <c r="BK264" s="49" t="s">
        <v>5516</v>
      </c>
      <c r="BL264" s="49" t="s">
        <v>5516</v>
      </c>
      <c r="BM264" s="49" t="s">
        <v>693</v>
      </c>
      <c r="BN264" s="49" t="s">
        <v>693</v>
      </c>
      <c r="BO264" s="49" t="s">
        <v>712</v>
      </c>
      <c r="BP264" s="49" t="s">
        <v>712</v>
      </c>
      <c r="BQ264" s="123" t="s">
        <v>5639</v>
      </c>
      <c r="BR264" s="123" t="s">
        <v>5639</v>
      </c>
      <c r="BS264" s="123" t="s">
        <v>5789</v>
      </c>
      <c r="BT264" s="123" t="s">
        <v>5789</v>
      </c>
      <c r="BU264" s="2"/>
      <c r="BV264" s="3"/>
      <c r="BW264" s="3"/>
      <c r="BX264" s="3"/>
      <c r="BY264" s="3"/>
    </row>
    <row r="265" spans="1:77" ht="15">
      <c r="A265" s="65" t="s">
        <v>358</v>
      </c>
      <c r="B265" s="66"/>
      <c r="C265" s="66" t="s">
        <v>46</v>
      </c>
      <c r="D265" s="67"/>
      <c r="E265" s="69"/>
      <c r="F265" s="111" t="str">
        <f>HYPERLINK("https://pbs.twimg.com/profile_images/1402574908593426438/_oiTzzl8_normal.jpg")</f>
        <v>https://pbs.twimg.com/profile_images/1402574908593426438/_oiTzzl8_normal.jpg</v>
      </c>
      <c r="G265" s="66"/>
      <c r="H265" s="70" t="s">
        <v>358</v>
      </c>
      <c r="I265" s="71" t="s">
        <v>5818</v>
      </c>
      <c r="J265" s="71" t="s">
        <v>73</v>
      </c>
      <c r="K265" s="70" t="s">
        <v>2562</v>
      </c>
      <c r="L265" s="74">
        <v>1</v>
      </c>
      <c r="M265" s="75">
        <v>1570.5435791015625</v>
      </c>
      <c r="N265" s="75">
        <v>4932.396484375</v>
      </c>
      <c r="O265" s="76"/>
      <c r="P265" s="77"/>
      <c r="Q265" s="77"/>
      <c r="R265" s="104"/>
      <c r="S265" s="49">
        <v>0</v>
      </c>
      <c r="T265" s="49">
        <v>1</v>
      </c>
      <c r="U265" s="50">
        <v>0</v>
      </c>
      <c r="V265" s="50">
        <v>0.000926</v>
      </c>
      <c r="W265" s="50">
        <v>0.003628</v>
      </c>
      <c r="X265" s="50">
        <v>0.395207</v>
      </c>
      <c r="Y265" s="50">
        <v>0</v>
      </c>
      <c r="Z265" s="50">
        <v>0</v>
      </c>
      <c r="AA265" s="72">
        <v>265</v>
      </c>
      <c r="AB265" s="72"/>
      <c r="AC265" s="73"/>
      <c r="AD265" s="89" t="s">
        <v>1736</v>
      </c>
      <c r="AE265" s="102" t="s">
        <v>1942</v>
      </c>
      <c r="AF265" s="89">
        <v>815</v>
      </c>
      <c r="AG265" s="89">
        <v>579</v>
      </c>
      <c r="AH265" s="89">
        <v>18052</v>
      </c>
      <c r="AI265" s="89">
        <v>126166</v>
      </c>
      <c r="AJ265" s="89"/>
      <c r="AK265" s="89" t="s">
        <v>2182</v>
      </c>
      <c r="AL265" s="89" t="s">
        <v>2291</v>
      </c>
      <c r="AM265" s="89"/>
      <c r="AN265" s="89"/>
      <c r="AO265" s="92">
        <v>40762.82234953704</v>
      </c>
      <c r="AP265" s="95" t="str">
        <f>HYPERLINK("https://pbs.twimg.com/profile_banners/350442106/1619396846")</f>
        <v>https://pbs.twimg.com/profile_banners/350442106/1619396846</v>
      </c>
      <c r="AQ265" s="89" t="b">
        <v>1</v>
      </c>
      <c r="AR265" s="89" t="b">
        <v>0</v>
      </c>
      <c r="AS265" s="89" t="b">
        <v>1</v>
      </c>
      <c r="AT265" s="89"/>
      <c r="AU265" s="89">
        <v>1</v>
      </c>
      <c r="AV265" s="95" t="str">
        <f>HYPERLINK("https://abs.twimg.com/images/themes/theme1/bg.png")</f>
        <v>https://abs.twimg.com/images/themes/theme1/bg.png</v>
      </c>
      <c r="AW265" s="89" t="b">
        <v>0</v>
      </c>
      <c r="AX265" s="89" t="s">
        <v>2300</v>
      </c>
      <c r="AY265" s="95" t="str">
        <f>HYPERLINK("https://twitter.com/r_riitta")</f>
        <v>https://twitter.com/r_riitta</v>
      </c>
      <c r="AZ265" s="89" t="s">
        <v>66</v>
      </c>
      <c r="BA265" s="89" t="str">
        <f>REPLACE(INDEX(GroupVertices[Group],MATCH(Vertices[[#This Row],[Vertex]],GroupVertices[Vertex],0)),1,1,"")</f>
        <v>1</v>
      </c>
      <c r="BB265" s="49">
        <v>0</v>
      </c>
      <c r="BC265" s="50">
        <v>0</v>
      </c>
      <c r="BD265" s="49">
        <v>0</v>
      </c>
      <c r="BE265" s="50">
        <v>0</v>
      </c>
      <c r="BF265" s="49">
        <v>0</v>
      </c>
      <c r="BG265" s="50">
        <v>0</v>
      </c>
      <c r="BH265" s="49">
        <v>6</v>
      </c>
      <c r="BI265" s="50">
        <v>100</v>
      </c>
      <c r="BJ265" s="49">
        <v>6</v>
      </c>
      <c r="BK265" s="49" t="s">
        <v>5188</v>
      </c>
      <c r="BL265" s="49" t="s">
        <v>5188</v>
      </c>
      <c r="BM265" s="49" t="s">
        <v>693</v>
      </c>
      <c r="BN265" s="49" t="s">
        <v>693</v>
      </c>
      <c r="BO265" s="49"/>
      <c r="BP265" s="49"/>
      <c r="BQ265" s="123" t="s">
        <v>5635</v>
      </c>
      <c r="BR265" s="123" t="s">
        <v>5635</v>
      </c>
      <c r="BS265" s="123" t="s">
        <v>5785</v>
      </c>
      <c r="BT265" s="123" t="s">
        <v>5785</v>
      </c>
      <c r="BU265" s="2"/>
      <c r="BV265" s="3"/>
      <c r="BW265" s="3"/>
      <c r="BX265" s="3"/>
      <c r="BY265" s="3"/>
    </row>
    <row r="266" spans="1:77" ht="15">
      <c r="A266" s="65" t="s">
        <v>359</v>
      </c>
      <c r="B266" s="66"/>
      <c r="C266" s="66" t="s">
        <v>46</v>
      </c>
      <c r="D266" s="67"/>
      <c r="E266" s="69"/>
      <c r="F266" s="111" t="str">
        <f>HYPERLINK("https://pbs.twimg.com/profile_images/1443890149096628228/oPSCfT7g_normal.jpg")</f>
        <v>https://pbs.twimg.com/profile_images/1443890149096628228/oPSCfT7g_normal.jpg</v>
      </c>
      <c r="G266" s="66"/>
      <c r="H266" s="70" t="s">
        <v>359</v>
      </c>
      <c r="I266" s="71" t="s">
        <v>5829</v>
      </c>
      <c r="J266" s="71" t="s">
        <v>73</v>
      </c>
      <c r="K266" s="70" t="s">
        <v>2563</v>
      </c>
      <c r="L266" s="74">
        <v>1</v>
      </c>
      <c r="M266" s="75">
        <v>7028.9736328125</v>
      </c>
      <c r="N266" s="75">
        <v>6088.38525390625</v>
      </c>
      <c r="O266" s="76"/>
      <c r="P266" s="77"/>
      <c r="Q266" s="77"/>
      <c r="R266" s="104"/>
      <c r="S266" s="49">
        <v>0</v>
      </c>
      <c r="T266" s="49">
        <v>1</v>
      </c>
      <c r="U266" s="50">
        <v>0</v>
      </c>
      <c r="V266" s="50">
        <v>0.000694</v>
      </c>
      <c r="W266" s="50">
        <v>0.000123</v>
      </c>
      <c r="X266" s="50">
        <v>0.393172</v>
      </c>
      <c r="Y266" s="50">
        <v>0</v>
      </c>
      <c r="Z266" s="50">
        <v>0</v>
      </c>
      <c r="AA266" s="72">
        <v>266</v>
      </c>
      <c r="AB266" s="72"/>
      <c r="AC266" s="73"/>
      <c r="AD266" s="89" t="s">
        <v>1737</v>
      </c>
      <c r="AE266" s="102" t="s">
        <v>1943</v>
      </c>
      <c r="AF266" s="89">
        <v>276</v>
      </c>
      <c r="AG266" s="89">
        <v>321</v>
      </c>
      <c r="AH266" s="89">
        <v>13921</v>
      </c>
      <c r="AI266" s="89">
        <v>43036</v>
      </c>
      <c r="AJ266" s="89"/>
      <c r="AK266" s="89" t="s">
        <v>2183</v>
      </c>
      <c r="AL266" s="89" t="s">
        <v>2292</v>
      </c>
      <c r="AM266" s="89"/>
      <c r="AN266" s="89"/>
      <c r="AO266" s="92">
        <v>40450.35351851852</v>
      </c>
      <c r="AP266" s="95" t="str">
        <f>HYPERLINK("https://pbs.twimg.com/profile_banners/196510907/1629781877")</f>
        <v>https://pbs.twimg.com/profile_banners/196510907/1629781877</v>
      </c>
      <c r="AQ266" s="89" t="b">
        <v>1</v>
      </c>
      <c r="AR266" s="89" t="b">
        <v>0</v>
      </c>
      <c r="AS266" s="89" t="b">
        <v>0</v>
      </c>
      <c r="AT266" s="89"/>
      <c r="AU266" s="89">
        <v>4</v>
      </c>
      <c r="AV266" s="95" t="str">
        <f>HYPERLINK("https://abs.twimg.com/images/themes/theme1/bg.png")</f>
        <v>https://abs.twimg.com/images/themes/theme1/bg.png</v>
      </c>
      <c r="AW266" s="89" t="b">
        <v>0</v>
      </c>
      <c r="AX266" s="89" t="s">
        <v>2300</v>
      </c>
      <c r="AY266" s="95" t="str">
        <f>HYPERLINK("https://twitter.com/lestercdiamond")</f>
        <v>https://twitter.com/lestercdiamond</v>
      </c>
      <c r="AZ266" s="89" t="s">
        <v>66</v>
      </c>
      <c r="BA266" s="89" t="str">
        <f>REPLACE(INDEX(GroupVertices[Group],MATCH(Vertices[[#This Row],[Vertex]],GroupVertices[Vertex],0)),1,1,"")</f>
        <v>9</v>
      </c>
      <c r="BB266" s="49">
        <v>0</v>
      </c>
      <c r="BC266" s="50">
        <v>0</v>
      </c>
      <c r="BD266" s="49">
        <v>0</v>
      </c>
      <c r="BE266" s="50">
        <v>0</v>
      </c>
      <c r="BF266" s="49">
        <v>0</v>
      </c>
      <c r="BG266" s="50">
        <v>0</v>
      </c>
      <c r="BH266" s="49">
        <v>49</v>
      </c>
      <c r="BI266" s="50">
        <v>100</v>
      </c>
      <c r="BJ266" s="49">
        <v>49</v>
      </c>
      <c r="BK266" s="49"/>
      <c r="BL266" s="49"/>
      <c r="BM266" s="49"/>
      <c r="BN266" s="49"/>
      <c r="BO266" s="49"/>
      <c r="BP266" s="49"/>
      <c r="BQ266" s="123" t="s">
        <v>5640</v>
      </c>
      <c r="BR266" s="123" t="s">
        <v>5684</v>
      </c>
      <c r="BS266" s="123" t="s">
        <v>5790</v>
      </c>
      <c r="BT266" s="123" t="s">
        <v>5816</v>
      </c>
      <c r="BU266" s="2"/>
      <c r="BV266" s="3"/>
      <c r="BW266" s="3"/>
      <c r="BX266" s="3"/>
      <c r="BY266" s="3"/>
    </row>
    <row r="267" spans="1:77" ht="15">
      <c r="A267" s="65" t="s">
        <v>360</v>
      </c>
      <c r="B267" s="66"/>
      <c r="C267" s="66" t="s">
        <v>46</v>
      </c>
      <c r="D267" s="67"/>
      <c r="E267" s="69"/>
      <c r="F267" s="111" t="str">
        <f>HYPERLINK("https://pbs.twimg.com/profile_images/1253589421380812800/iNNEEsi2_normal.jpg")</f>
        <v>https://pbs.twimg.com/profile_images/1253589421380812800/iNNEEsi2_normal.jpg</v>
      </c>
      <c r="G267" s="66"/>
      <c r="H267" s="70" t="s">
        <v>360</v>
      </c>
      <c r="I267" s="71" t="s">
        <v>5822</v>
      </c>
      <c r="J267" s="71" t="s">
        <v>73</v>
      </c>
      <c r="K267" s="70" t="s">
        <v>2564</v>
      </c>
      <c r="L267" s="74">
        <v>1</v>
      </c>
      <c r="M267" s="75">
        <v>6537.0419921875</v>
      </c>
      <c r="N267" s="75">
        <v>7270.6435546875</v>
      </c>
      <c r="O267" s="76"/>
      <c r="P267" s="77"/>
      <c r="Q267" s="77"/>
      <c r="R267" s="104"/>
      <c r="S267" s="49">
        <v>0</v>
      </c>
      <c r="T267" s="49">
        <v>2</v>
      </c>
      <c r="U267" s="50">
        <v>488</v>
      </c>
      <c r="V267" s="50">
        <v>0.000867</v>
      </c>
      <c r="W267" s="50">
        <v>0.001123</v>
      </c>
      <c r="X267" s="50">
        <v>0.795867</v>
      </c>
      <c r="Y267" s="50">
        <v>0</v>
      </c>
      <c r="Z267" s="50">
        <v>0</v>
      </c>
      <c r="AA267" s="72">
        <v>267</v>
      </c>
      <c r="AB267" s="72"/>
      <c r="AC267" s="73"/>
      <c r="AD267" s="89" t="s">
        <v>1738</v>
      </c>
      <c r="AE267" s="102" t="s">
        <v>1944</v>
      </c>
      <c r="AF267" s="89">
        <v>342</v>
      </c>
      <c r="AG267" s="89">
        <v>99</v>
      </c>
      <c r="AH267" s="89">
        <v>1540</v>
      </c>
      <c r="AI267" s="89">
        <v>2736</v>
      </c>
      <c r="AJ267" s="89"/>
      <c r="AK267" s="89" t="s">
        <v>2184</v>
      </c>
      <c r="AL267" s="89" t="s">
        <v>2293</v>
      </c>
      <c r="AM267" s="95" t="str">
        <f>HYPERLINK("https://t.co/V1yph6QvGG")</f>
        <v>https://t.co/V1yph6QvGG</v>
      </c>
      <c r="AN267" s="89"/>
      <c r="AO267" s="92">
        <v>41973.64241898148</v>
      </c>
      <c r="AP267" s="95" t="str">
        <f>HYPERLINK("https://pbs.twimg.com/profile_banners/2899345444/1420278828")</f>
        <v>https://pbs.twimg.com/profile_banners/2899345444/1420278828</v>
      </c>
      <c r="AQ267" s="89" t="b">
        <v>0</v>
      </c>
      <c r="AR267" s="89" t="b">
        <v>0</v>
      </c>
      <c r="AS267" s="89" t="b">
        <v>1</v>
      </c>
      <c r="AT267" s="89"/>
      <c r="AU267" s="89">
        <v>0</v>
      </c>
      <c r="AV267" s="95" t="str">
        <f>HYPERLINK("https://abs.twimg.com/images/themes/theme1/bg.png")</f>
        <v>https://abs.twimg.com/images/themes/theme1/bg.png</v>
      </c>
      <c r="AW267" s="89" t="b">
        <v>0</v>
      </c>
      <c r="AX267" s="89" t="s">
        <v>2300</v>
      </c>
      <c r="AY267" s="95" t="str">
        <f>HYPERLINK("https://twitter.com/clpssdnl")</f>
        <v>https://twitter.com/clpssdnl</v>
      </c>
      <c r="AZ267" s="89" t="s">
        <v>66</v>
      </c>
      <c r="BA267" s="89" t="str">
        <f>REPLACE(INDEX(GroupVertices[Group],MATCH(Vertices[[#This Row],[Vertex]],GroupVertices[Vertex],0)),1,1,"")</f>
        <v>5</v>
      </c>
      <c r="BB267" s="49">
        <v>1</v>
      </c>
      <c r="BC267" s="50">
        <v>3.4482758620689653</v>
      </c>
      <c r="BD267" s="49">
        <v>0</v>
      </c>
      <c r="BE267" s="50">
        <v>0</v>
      </c>
      <c r="BF267" s="49">
        <v>0</v>
      </c>
      <c r="BG267" s="50">
        <v>0</v>
      </c>
      <c r="BH267" s="49">
        <v>28</v>
      </c>
      <c r="BI267" s="50">
        <v>96.55172413793103</v>
      </c>
      <c r="BJ267" s="49">
        <v>29</v>
      </c>
      <c r="BK267" s="49"/>
      <c r="BL267" s="49"/>
      <c r="BM267" s="49"/>
      <c r="BN267" s="49"/>
      <c r="BO267" s="49"/>
      <c r="BP267" s="49"/>
      <c r="BQ267" s="123" t="s">
        <v>5641</v>
      </c>
      <c r="BR267" s="123" t="s">
        <v>5641</v>
      </c>
      <c r="BS267" s="123" t="s">
        <v>5791</v>
      </c>
      <c r="BT267" s="123" t="s">
        <v>5791</v>
      </c>
      <c r="BU267" s="2"/>
      <c r="BV267" s="3"/>
      <c r="BW267" s="3"/>
      <c r="BX267" s="3"/>
      <c r="BY267" s="3"/>
    </row>
    <row r="268" spans="1:77" ht="15">
      <c r="A268" s="65" t="s">
        <v>502</v>
      </c>
      <c r="B268" s="66"/>
      <c r="C268" s="66" t="s">
        <v>46</v>
      </c>
      <c r="D268" s="67">
        <v>10</v>
      </c>
      <c r="E268" s="69"/>
      <c r="F268" s="111" t="str">
        <f>HYPERLINK("https://pbs.twimg.com/profile_images/1432333097358528519/y1NSk1Ka_normal.jpg")</f>
        <v>https://pbs.twimg.com/profile_images/1432333097358528519/y1NSk1Ka_normal.jpg</v>
      </c>
      <c r="G268" s="66"/>
      <c r="H268" s="70" t="s">
        <v>502</v>
      </c>
      <c r="I268" s="71" t="s">
        <v>5822</v>
      </c>
      <c r="J268" s="71" t="s">
        <v>75</v>
      </c>
      <c r="K268" s="70" t="s">
        <v>2565</v>
      </c>
      <c r="L268" s="74">
        <v>477.0952380952381</v>
      </c>
      <c r="M268" s="75">
        <v>6600.748046875</v>
      </c>
      <c r="N268" s="75">
        <v>6322.552734375</v>
      </c>
      <c r="O268" s="76"/>
      <c r="P268" s="77"/>
      <c r="Q268" s="77"/>
      <c r="R268" s="104"/>
      <c r="S268" s="49">
        <v>1</v>
      </c>
      <c r="T268" s="49">
        <v>0</v>
      </c>
      <c r="U268" s="50">
        <v>0</v>
      </c>
      <c r="V268" s="50">
        <v>0.000715</v>
      </c>
      <c r="W268" s="50">
        <v>0.000131</v>
      </c>
      <c r="X268" s="50">
        <v>0.488243</v>
      </c>
      <c r="Y268" s="50">
        <v>0</v>
      </c>
      <c r="Z268" s="50">
        <v>0</v>
      </c>
      <c r="AA268" s="72">
        <v>268</v>
      </c>
      <c r="AB268" s="72"/>
      <c r="AC268" s="73"/>
      <c r="AD268" s="89" t="s">
        <v>1739</v>
      </c>
      <c r="AE268" s="102" t="s">
        <v>1945</v>
      </c>
      <c r="AF268" s="89">
        <v>976</v>
      </c>
      <c r="AG268" s="89">
        <v>11443</v>
      </c>
      <c r="AH268" s="89">
        <v>20259</v>
      </c>
      <c r="AI268" s="89">
        <v>24341</v>
      </c>
      <c r="AJ268" s="89"/>
      <c r="AK268" s="89" t="s">
        <v>2185</v>
      </c>
      <c r="AL268" s="89" t="s">
        <v>2229</v>
      </c>
      <c r="AM268" s="95" t="str">
        <f>HYPERLINK("https://t.co/DLI7yJoPTD")</f>
        <v>https://t.co/DLI7yJoPTD</v>
      </c>
      <c r="AN268" s="89"/>
      <c r="AO268" s="92">
        <v>43563.80829861111</v>
      </c>
      <c r="AP268" s="95" t="str">
        <f>HYPERLINK("https://pbs.twimg.com/profile_banners/1115334482788265985/1588166581")</f>
        <v>https://pbs.twimg.com/profile_banners/1115334482788265985/1588166581</v>
      </c>
      <c r="AQ268" s="89" t="b">
        <v>1</v>
      </c>
      <c r="AR268" s="89" t="b">
        <v>0</v>
      </c>
      <c r="AS268" s="89" t="b">
        <v>1</v>
      </c>
      <c r="AT268" s="89"/>
      <c r="AU268" s="89">
        <v>18</v>
      </c>
      <c r="AV268" s="89"/>
      <c r="AW268" s="89" t="b">
        <v>0</v>
      </c>
      <c r="AX268" s="89" t="s">
        <v>2300</v>
      </c>
      <c r="AY268" s="95" t="str">
        <f>HYPERLINK("https://twitter.com/lauri_linden")</f>
        <v>https://twitter.com/lauri_linden</v>
      </c>
      <c r="AZ268" s="89" t="s">
        <v>65</v>
      </c>
      <c r="BA268" s="89" t="str">
        <f>REPLACE(INDEX(GroupVertices[Group],MATCH(Vertices[[#This Row],[Vertex]],GroupVertices[Vertex],0)),1,1,"")</f>
        <v>5</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5" t="s">
        <v>361</v>
      </c>
      <c r="B269" s="66"/>
      <c r="C269" s="66" t="s">
        <v>46</v>
      </c>
      <c r="D269" s="67"/>
      <c r="E269" s="69"/>
      <c r="F269" s="111" t="str">
        <f>HYPERLINK("https://abs.twimg.com/sticky/default_profile_images/default_profile_normal.png")</f>
        <v>https://abs.twimg.com/sticky/default_profile_images/default_profile_normal.png</v>
      </c>
      <c r="G269" s="66"/>
      <c r="H269" s="70" t="s">
        <v>361</v>
      </c>
      <c r="I269" s="71" t="s">
        <v>5822</v>
      </c>
      <c r="J269" s="71" t="s">
        <v>73</v>
      </c>
      <c r="K269" s="70" t="s">
        <v>2566</v>
      </c>
      <c r="L269" s="74">
        <v>1</v>
      </c>
      <c r="M269" s="75">
        <v>6176.84130859375</v>
      </c>
      <c r="N269" s="75">
        <v>9257.7880859375</v>
      </c>
      <c r="O269" s="76"/>
      <c r="P269" s="77"/>
      <c r="Q269" s="77"/>
      <c r="R269" s="104"/>
      <c r="S269" s="49">
        <v>0</v>
      </c>
      <c r="T269" s="49">
        <v>6</v>
      </c>
      <c r="U269" s="50">
        <v>10184.335197</v>
      </c>
      <c r="V269" s="50">
        <v>0.001163</v>
      </c>
      <c r="W269" s="50">
        <v>0.02631</v>
      </c>
      <c r="X269" s="50">
        <v>1.328538</v>
      </c>
      <c r="Y269" s="50">
        <v>0.1</v>
      </c>
      <c r="Z269" s="50">
        <v>0</v>
      </c>
      <c r="AA269" s="72">
        <v>269</v>
      </c>
      <c r="AB269" s="72"/>
      <c r="AC269" s="73"/>
      <c r="AD269" s="89" t="s">
        <v>1740</v>
      </c>
      <c r="AE269" s="102" t="s">
        <v>1946</v>
      </c>
      <c r="AF269" s="89">
        <v>128</v>
      </c>
      <c r="AG269" s="89">
        <v>237</v>
      </c>
      <c r="AH269" s="89">
        <v>26398</v>
      </c>
      <c r="AI269" s="89">
        <v>116863</v>
      </c>
      <c r="AJ269" s="89"/>
      <c r="AK269" s="89" t="s">
        <v>2186</v>
      </c>
      <c r="AL269" s="89"/>
      <c r="AM269" s="89"/>
      <c r="AN269" s="89"/>
      <c r="AO269" s="92">
        <v>42763.64508101852</v>
      </c>
      <c r="AP269" s="89"/>
      <c r="AQ269" s="89" t="b">
        <v>0</v>
      </c>
      <c r="AR269" s="89" t="b">
        <v>1</v>
      </c>
      <c r="AS269" s="89" t="b">
        <v>0</v>
      </c>
      <c r="AT269" s="89"/>
      <c r="AU269" s="89">
        <v>8</v>
      </c>
      <c r="AV269" s="95" t="str">
        <f>HYPERLINK("https://abs.twimg.com/images/themes/theme1/bg.png")</f>
        <v>https://abs.twimg.com/images/themes/theme1/bg.png</v>
      </c>
      <c r="AW269" s="89" t="b">
        <v>0</v>
      </c>
      <c r="AX269" s="89" t="s">
        <v>2300</v>
      </c>
      <c r="AY269" s="95" t="str">
        <f>HYPERLINK("https://twitter.com/useyour_____")</f>
        <v>https://twitter.com/useyour_____</v>
      </c>
      <c r="AZ269" s="89" t="s">
        <v>66</v>
      </c>
      <c r="BA269" s="89" t="str">
        <f>REPLACE(INDEX(GroupVertices[Group],MATCH(Vertices[[#This Row],[Vertex]],GroupVertices[Vertex],0)),1,1,"")</f>
        <v>5</v>
      </c>
      <c r="BB269" s="49">
        <v>0</v>
      </c>
      <c r="BC269" s="50">
        <v>0</v>
      </c>
      <c r="BD269" s="49">
        <v>0</v>
      </c>
      <c r="BE269" s="50">
        <v>0</v>
      </c>
      <c r="BF269" s="49">
        <v>0</v>
      </c>
      <c r="BG269" s="50">
        <v>0</v>
      </c>
      <c r="BH269" s="49">
        <v>48</v>
      </c>
      <c r="BI269" s="50">
        <v>100</v>
      </c>
      <c r="BJ269" s="49">
        <v>48</v>
      </c>
      <c r="BK269" s="49" t="s">
        <v>5188</v>
      </c>
      <c r="BL269" s="49" t="s">
        <v>5188</v>
      </c>
      <c r="BM269" s="49" t="s">
        <v>693</v>
      </c>
      <c r="BN269" s="49" t="s">
        <v>693</v>
      </c>
      <c r="BO269" s="49" t="s">
        <v>5532</v>
      </c>
      <c r="BP269" s="49" t="s">
        <v>5532</v>
      </c>
      <c r="BQ269" s="123" t="s">
        <v>5642</v>
      </c>
      <c r="BR269" s="123" t="s">
        <v>5685</v>
      </c>
      <c r="BS269" s="123" t="s">
        <v>5786</v>
      </c>
      <c r="BT269" s="123" t="s">
        <v>5786</v>
      </c>
      <c r="BU269" s="2"/>
      <c r="BV269" s="3"/>
      <c r="BW269" s="3"/>
      <c r="BX269" s="3"/>
      <c r="BY269" s="3"/>
    </row>
    <row r="270" spans="1:77" ht="15">
      <c r="A270" s="65" t="s">
        <v>362</v>
      </c>
      <c r="B270" s="66"/>
      <c r="C270" s="66" t="s">
        <v>46</v>
      </c>
      <c r="D270" s="67"/>
      <c r="E270" s="69"/>
      <c r="F270" s="111" t="str">
        <f>HYPERLINK("https://pbs.twimg.com/profile_images/1153327682907705344/OKrwgUrU_normal.jpg")</f>
        <v>https://pbs.twimg.com/profile_images/1153327682907705344/OKrwgUrU_normal.jpg</v>
      </c>
      <c r="G270" s="66"/>
      <c r="H270" s="70" t="s">
        <v>362</v>
      </c>
      <c r="I270" s="71" t="s">
        <v>5818</v>
      </c>
      <c r="J270" s="71" t="s">
        <v>73</v>
      </c>
      <c r="K270" s="70" t="s">
        <v>2567</v>
      </c>
      <c r="L270" s="74">
        <v>1</v>
      </c>
      <c r="M270" s="75">
        <v>974.0120239257812</v>
      </c>
      <c r="N270" s="75">
        <v>5026.2890625</v>
      </c>
      <c r="O270" s="76"/>
      <c r="P270" s="77"/>
      <c r="Q270" s="77"/>
      <c r="R270" s="104"/>
      <c r="S270" s="49">
        <v>0</v>
      </c>
      <c r="T270" s="49">
        <v>1</v>
      </c>
      <c r="U270" s="50">
        <v>0</v>
      </c>
      <c r="V270" s="50">
        <v>0.000926</v>
      </c>
      <c r="W270" s="50">
        <v>0.003628</v>
      </c>
      <c r="X270" s="50">
        <v>0.395207</v>
      </c>
      <c r="Y270" s="50">
        <v>0</v>
      </c>
      <c r="Z270" s="50">
        <v>0</v>
      </c>
      <c r="AA270" s="72">
        <v>270</v>
      </c>
      <c r="AB270" s="72"/>
      <c r="AC270" s="73"/>
      <c r="AD270" s="89" t="s">
        <v>1741</v>
      </c>
      <c r="AE270" s="102" t="s">
        <v>1947</v>
      </c>
      <c r="AF270" s="89">
        <v>4208</v>
      </c>
      <c r="AG270" s="89">
        <v>4667</v>
      </c>
      <c r="AH270" s="89">
        <v>7189</v>
      </c>
      <c r="AI270" s="89">
        <v>21076</v>
      </c>
      <c r="AJ270" s="89"/>
      <c r="AK270" s="89" t="s">
        <v>2002</v>
      </c>
      <c r="AL270" s="89"/>
      <c r="AM270" s="95" t="str">
        <f>HYPERLINK("https://t.co/lXUdPRdccr")</f>
        <v>https://t.co/lXUdPRdccr</v>
      </c>
      <c r="AN270" s="89"/>
      <c r="AO270" s="92">
        <v>41201.26872685185</v>
      </c>
      <c r="AP270" s="95" t="str">
        <f>HYPERLINK("https://pbs.twimg.com/profile_banners/890413020/1536785323")</f>
        <v>https://pbs.twimg.com/profile_banners/890413020/1536785323</v>
      </c>
      <c r="AQ270" s="89" t="b">
        <v>0</v>
      </c>
      <c r="AR270" s="89" t="b">
        <v>0</v>
      </c>
      <c r="AS270" s="89" t="b">
        <v>1</v>
      </c>
      <c r="AT270" s="89"/>
      <c r="AU270" s="89">
        <v>8</v>
      </c>
      <c r="AV270" s="95" t="str">
        <f>HYPERLINK("https://abs.twimg.com/images/themes/theme11/bg.gif")</f>
        <v>https://abs.twimg.com/images/themes/theme11/bg.gif</v>
      </c>
      <c r="AW270" s="89" t="b">
        <v>0</v>
      </c>
      <c r="AX270" s="89" t="s">
        <v>2300</v>
      </c>
      <c r="AY270" s="95" t="str">
        <f>HYPERLINK("https://twitter.com/essihelminen")</f>
        <v>https://twitter.com/essihelminen</v>
      </c>
      <c r="AZ270" s="89" t="s">
        <v>66</v>
      </c>
      <c r="BA270" s="89" t="str">
        <f>REPLACE(INDEX(GroupVertices[Group],MATCH(Vertices[[#This Row],[Vertex]],GroupVertices[Vertex],0)),1,1,"")</f>
        <v>1</v>
      </c>
      <c r="BB270" s="49">
        <v>0</v>
      </c>
      <c r="BC270" s="50">
        <v>0</v>
      </c>
      <c r="BD270" s="49">
        <v>0</v>
      </c>
      <c r="BE270" s="50">
        <v>0</v>
      </c>
      <c r="BF270" s="49">
        <v>0</v>
      </c>
      <c r="BG270" s="50">
        <v>0</v>
      </c>
      <c r="BH270" s="49">
        <v>6</v>
      </c>
      <c r="BI270" s="50">
        <v>100</v>
      </c>
      <c r="BJ270" s="49">
        <v>6</v>
      </c>
      <c r="BK270" s="49" t="s">
        <v>5188</v>
      </c>
      <c r="BL270" s="49" t="s">
        <v>5188</v>
      </c>
      <c r="BM270" s="49" t="s">
        <v>693</v>
      </c>
      <c r="BN270" s="49" t="s">
        <v>693</v>
      </c>
      <c r="BO270" s="49"/>
      <c r="BP270" s="49"/>
      <c r="BQ270" s="123" t="s">
        <v>5635</v>
      </c>
      <c r="BR270" s="123" t="s">
        <v>5635</v>
      </c>
      <c r="BS270" s="123" t="s">
        <v>5785</v>
      </c>
      <c r="BT270" s="123" t="s">
        <v>5785</v>
      </c>
      <c r="BU270" s="2"/>
      <c r="BV270" s="3"/>
      <c r="BW270" s="3"/>
      <c r="BX270" s="3"/>
      <c r="BY270" s="3"/>
    </row>
    <row r="271" spans="1:77" ht="15">
      <c r="A271" s="65" t="s">
        <v>363</v>
      </c>
      <c r="B271" s="66"/>
      <c r="C271" s="66" t="s">
        <v>46</v>
      </c>
      <c r="D271" s="67"/>
      <c r="E271" s="69"/>
      <c r="F271" s="111" t="str">
        <f>HYPERLINK("https://abs.twimg.com/sticky/default_profile_images/default_profile_normal.png")</f>
        <v>https://abs.twimg.com/sticky/default_profile_images/default_profile_normal.png</v>
      </c>
      <c r="G271" s="66"/>
      <c r="H271" s="70" t="s">
        <v>363</v>
      </c>
      <c r="I271" s="71" t="s">
        <v>5822</v>
      </c>
      <c r="J271" s="71" t="s">
        <v>73</v>
      </c>
      <c r="K271" s="70" t="s">
        <v>2568</v>
      </c>
      <c r="L271" s="74">
        <v>1</v>
      </c>
      <c r="M271" s="75">
        <v>6035.48681640625</v>
      </c>
      <c r="N271" s="75">
        <v>8526.875</v>
      </c>
      <c r="O271" s="76"/>
      <c r="P271" s="77"/>
      <c r="Q271" s="77"/>
      <c r="R271" s="104"/>
      <c r="S271" s="49">
        <v>0</v>
      </c>
      <c r="T271" s="49">
        <v>2</v>
      </c>
      <c r="U271" s="50">
        <v>0</v>
      </c>
      <c r="V271" s="50">
        <v>0.000867</v>
      </c>
      <c r="W271" s="50">
        <v>0.001293</v>
      </c>
      <c r="X271" s="50">
        <v>0.647501</v>
      </c>
      <c r="Y271" s="50">
        <v>0.5</v>
      </c>
      <c r="Z271" s="50">
        <v>0</v>
      </c>
      <c r="AA271" s="72">
        <v>271</v>
      </c>
      <c r="AB271" s="72"/>
      <c r="AC271" s="73"/>
      <c r="AD271" s="89" t="s">
        <v>1742</v>
      </c>
      <c r="AE271" s="102" t="s">
        <v>1948</v>
      </c>
      <c r="AF271" s="89">
        <v>69</v>
      </c>
      <c r="AG271" s="89">
        <v>3</v>
      </c>
      <c r="AH271" s="89">
        <v>48</v>
      </c>
      <c r="AI271" s="89">
        <v>189</v>
      </c>
      <c r="AJ271" s="89"/>
      <c r="AK271" s="89"/>
      <c r="AL271" s="89"/>
      <c r="AM271" s="89"/>
      <c r="AN271" s="89"/>
      <c r="AO271" s="92">
        <v>44333.36084490741</v>
      </c>
      <c r="AP271" s="89"/>
      <c r="AQ271" s="89" t="b">
        <v>1</v>
      </c>
      <c r="AR271" s="89" t="b">
        <v>1</v>
      </c>
      <c r="AS271" s="89" t="b">
        <v>0</v>
      </c>
      <c r="AT271" s="89"/>
      <c r="AU271" s="89">
        <v>1</v>
      </c>
      <c r="AV271" s="89"/>
      <c r="AW271" s="89" t="b">
        <v>0</v>
      </c>
      <c r="AX271" s="89" t="s">
        <v>2300</v>
      </c>
      <c r="AY271" s="95" t="str">
        <f>HYPERLINK("https://twitter.com/babutheemperor")</f>
        <v>https://twitter.com/babutheemperor</v>
      </c>
      <c r="AZ271" s="89" t="s">
        <v>66</v>
      </c>
      <c r="BA271" s="89" t="str">
        <f>REPLACE(INDEX(GroupVertices[Group],MATCH(Vertices[[#This Row],[Vertex]],GroupVertices[Vertex],0)),1,1,"")</f>
        <v>5</v>
      </c>
      <c r="BB271" s="49">
        <v>1</v>
      </c>
      <c r="BC271" s="50">
        <v>2.7027027027027026</v>
      </c>
      <c r="BD271" s="49">
        <v>0</v>
      </c>
      <c r="BE271" s="50">
        <v>0</v>
      </c>
      <c r="BF271" s="49">
        <v>0</v>
      </c>
      <c r="BG271" s="50">
        <v>0</v>
      </c>
      <c r="BH271" s="49">
        <v>36</v>
      </c>
      <c r="BI271" s="50">
        <v>97.29729729729729</v>
      </c>
      <c r="BJ271" s="49">
        <v>37</v>
      </c>
      <c r="BK271" s="49"/>
      <c r="BL271" s="49"/>
      <c r="BM271" s="49"/>
      <c r="BN271" s="49"/>
      <c r="BO271" s="49"/>
      <c r="BP271" s="49"/>
      <c r="BQ271" s="123" t="s">
        <v>5638</v>
      </c>
      <c r="BR271" s="123" t="s">
        <v>5638</v>
      </c>
      <c r="BS271" s="123" t="s">
        <v>5788</v>
      </c>
      <c r="BT271" s="123" t="s">
        <v>5788</v>
      </c>
      <c r="BU271" s="2"/>
      <c r="BV271" s="3"/>
      <c r="BW271" s="3"/>
      <c r="BX271" s="3"/>
      <c r="BY271" s="3"/>
    </row>
    <row r="272" spans="1:77" ht="15">
      <c r="A272" s="65" t="s">
        <v>364</v>
      </c>
      <c r="B272" s="66"/>
      <c r="C272" s="66" t="s">
        <v>46</v>
      </c>
      <c r="D272" s="67"/>
      <c r="E272" s="69"/>
      <c r="F272" s="111" t="str">
        <f>HYPERLINK("https://pbs.twimg.com/profile_images/1253038095722860545/mHcVkmOw_normal.png")</f>
        <v>https://pbs.twimg.com/profile_images/1253038095722860545/mHcVkmOw_normal.png</v>
      </c>
      <c r="G272" s="66"/>
      <c r="H272" s="70" t="s">
        <v>364</v>
      </c>
      <c r="I272" s="71" t="s">
        <v>5822</v>
      </c>
      <c r="J272" s="71" t="s">
        <v>73</v>
      </c>
      <c r="K272" s="70" t="s">
        <v>2569</v>
      </c>
      <c r="L272" s="74">
        <v>1</v>
      </c>
      <c r="M272" s="75">
        <v>5396.39990234375</v>
      </c>
      <c r="N272" s="75">
        <v>8176.8466796875</v>
      </c>
      <c r="O272" s="76"/>
      <c r="P272" s="77"/>
      <c r="Q272" s="77"/>
      <c r="R272" s="104"/>
      <c r="S272" s="49">
        <v>0</v>
      </c>
      <c r="T272" s="49">
        <v>2</v>
      </c>
      <c r="U272" s="50">
        <v>488</v>
      </c>
      <c r="V272" s="50">
        <v>0.000719</v>
      </c>
      <c r="W272" s="50">
        <v>0.000187</v>
      </c>
      <c r="X272" s="50">
        <v>0.851883</v>
      </c>
      <c r="Y272" s="50">
        <v>0</v>
      </c>
      <c r="Z272" s="50">
        <v>0</v>
      </c>
      <c r="AA272" s="72">
        <v>272</v>
      </c>
      <c r="AB272" s="72"/>
      <c r="AC272" s="73"/>
      <c r="AD272" s="89" t="s">
        <v>1743</v>
      </c>
      <c r="AE272" s="102" t="s">
        <v>1949</v>
      </c>
      <c r="AF272" s="89">
        <v>143</v>
      </c>
      <c r="AG272" s="89">
        <v>118</v>
      </c>
      <c r="AH272" s="89">
        <v>3914</v>
      </c>
      <c r="AI272" s="89">
        <v>9540</v>
      </c>
      <c r="AJ272" s="89"/>
      <c r="AK272" s="89" t="s">
        <v>2187</v>
      </c>
      <c r="AL272" s="89" t="s">
        <v>2294</v>
      </c>
      <c r="AM272" s="89"/>
      <c r="AN272" s="89"/>
      <c r="AO272" s="92">
        <v>41238.75883101852</v>
      </c>
      <c r="AP272" s="95" t="str">
        <f>HYPERLINK("https://pbs.twimg.com/profile_banners/970516399/1621071369")</f>
        <v>https://pbs.twimg.com/profile_banners/970516399/1621071369</v>
      </c>
      <c r="AQ272" s="89" t="b">
        <v>1</v>
      </c>
      <c r="AR272" s="89" t="b">
        <v>0</v>
      </c>
      <c r="AS272" s="89" t="b">
        <v>0</v>
      </c>
      <c r="AT272" s="89"/>
      <c r="AU272" s="89">
        <v>0</v>
      </c>
      <c r="AV272" s="95" t="str">
        <f>HYPERLINK("https://abs.twimg.com/images/themes/theme1/bg.png")</f>
        <v>https://abs.twimg.com/images/themes/theme1/bg.png</v>
      </c>
      <c r="AW272" s="89" t="b">
        <v>0</v>
      </c>
      <c r="AX272" s="89" t="s">
        <v>2300</v>
      </c>
      <c r="AY272" s="95" t="str">
        <f>HYPERLINK("https://twitter.com/s___n_r_______n")</f>
        <v>https://twitter.com/s___n_r_______n</v>
      </c>
      <c r="AZ272" s="89" t="s">
        <v>66</v>
      </c>
      <c r="BA272" s="89" t="str">
        <f>REPLACE(INDEX(GroupVertices[Group],MATCH(Vertices[[#This Row],[Vertex]],GroupVertices[Vertex],0)),1,1,"")</f>
        <v>5</v>
      </c>
      <c r="BB272" s="49">
        <v>0</v>
      </c>
      <c r="BC272" s="50">
        <v>0</v>
      </c>
      <c r="BD272" s="49">
        <v>0</v>
      </c>
      <c r="BE272" s="50">
        <v>0</v>
      </c>
      <c r="BF272" s="49">
        <v>0</v>
      </c>
      <c r="BG272" s="50">
        <v>0</v>
      </c>
      <c r="BH272" s="49">
        <v>13</v>
      </c>
      <c r="BI272" s="50">
        <v>100</v>
      </c>
      <c r="BJ272" s="49">
        <v>13</v>
      </c>
      <c r="BK272" s="49"/>
      <c r="BL272" s="49"/>
      <c r="BM272" s="49"/>
      <c r="BN272" s="49"/>
      <c r="BO272" s="49"/>
      <c r="BP272" s="49"/>
      <c r="BQ272" s="123" t="s">
        <v>5643</v>
      </c>
      <c r="BR272" s="123" t="s">
        <v>5643</v>
      </c>
      <c r="BS272" s="123" t="s">
        <v>5792</v>
      </c>
      <c r="BT272" s="123" t="s">
        <v>5792</v>
      </c>
      <c r="BU272" s="2"/>
      <c r="BV272" s="3"/>
      <c r="BW272" s="3"/>
      <c r="BX272" s="3"/>
      <c r="BY272" s="3"/>
    </row>
    <row r="273" spans="1:77" ht="15">
      <c r="A273" s="65" t="s">
        <v>503</v>
      </c>
      <c r="B273" s="66"/>
      <c r="C273" s="66" t="s">
        <v>46</v>
      </c>
      <c r="D273" s="67">
        <v>10</v>
      </c>
      <c r="E273" s="69"/>
      <c r="F273" s="111" t="str">
        <f>HYPERLINK("https://pbs.twimg.com/profile_images/1087115903832113153/-0POrDBw_normal.jpg")</f>
        <v>https://pbs.twimg.com/profile_images/1087115903832113153/-0POrDBw_normal.jpg</v>
      </c>
      <c r="G273" s="66"/>
      <c r="H273" s="70" t="s">
        <v>503</v>
      </c>
      <c r="I273" s="71" t="s">
        <v>5822</v>
      </c>
      <c r="J273" s="71" t="s">
        <v>75</v>
      </c>
      <c r="K273" s="70" t="s">
        <v>2570</v>
      </c>
      <c r="L273" s="74">
        <v>477.0952380952381</v>
      </c>
      <c r="M273" s="75">
        <v>5105.87158203125</v>
      </c>
      <c r="N273" s="75">
        <v>7981.74462890625</v>
      </c>
      <c r="O273" s="76"/>
      <c r="P273" s="77"/>
      <c r="Q273" s="77"/>
      <c r="R273" s="104"/>
      <c r="S273" s="49">
        <v>1</v>
      </c>
      <c r="T273" s="49">
        <v>0</v>
      </c>
      <c r="U273" s="50">
        <v>0</v>
      </c>
      <c r="V273" s="50">
        <v>0.000612</v>
      </c>
      <c r="W273" s="50">
        <v>2.2E-05</v>
      </c>
      <c r="X273" s="50">
        <v>0.51205</v>
      </c>
      <c r="Y273" s="50">
        <v>0</v>
      </c>
      <c r="Z273" s="50">
        <v>0</v>
      </c>
      <c r="AA273" s="72">
        <v>273</v>
      </c>
      <c r="AB273" s="72"/>
      <c r="AC273" s="73"/>
      <c r="AD273" s="89" t="s">
        <v>1744</v>
      </c>
      <c r="AE273" s="102" t="s">
        <v>1426</v>
      </c>
      <c r="AF273" s="89">
        <v>308</v>
      </c>
      <c r="AG273" s="89">
        <v>62</v>
      </c>
      <c r="AH273" s="89">
        <v>1039</v>
      </c>
      <c r="AI273" s="89">
        <v>10852</v>
      </c>
      <c r="AJ273" s="89"/>
      <c r="AK273" s="89" t="s">
        <v>2188</v>
      </c>
      <c r="AL273" s="89"/>
      <c r="AM273" s="89"/>
      <c r="AN273" s="89"/>
      <c r="AO273" s="92">
        <v>43485.881944444445</v>
      </c>
      <c r="AP273" s="89"/>
      <c r="AQ273" s="89" t="b">
        <v>1</v>
      </c>
      <c r="AR273" s="89" t="b">
        <v>0</v>
      </c>
      <c r="AS273" s="89" t="b">
        <v>0</v>
      </c>
      <c r="AT273" s="89"/>
      <c r="AU273" s="89">
        <v>1</v>
      </c>
      <c r="AV273" s="89"/>
      <c r="AW273" s="89" t="b">
        <v>0</v>
      </c>
      <c r="AX273" s="89" t="s">
        <v>2300</v>
      </c>
      <c r="AY273" s="95" t="str">
        <f>HYPERLINK("https://twitter.com/jukkapetterila1")</f>
        <v>https://twitter.com/jukkapetterila1</v>
      </c>
      <c r="AZ273" s="89" t="s">
        <v>65</v>
      </c>
      <c r="BA273" s="89" t="str">
        <f>REPLACE(INDEX(GroupVertices[Group],MATCH(Vertices[[#This Row],[Vertex]],GroupVertices[Vertex],0)),1,1,"")</f>
        <v>5</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5" t="s">
        <v>365</v>
      </c>
      <c r="B274" s="66"/>
      <c r="C274" s="66" t="s">
        <v>46</v>
      </c>
      <c r="D274" s="67"/>
      <c r="E274" s="69"/>
      <c r="F274" s="111" t="str">
        <f>HYPERLINK("https://pbs.twimg.com/profile_images/1354944916636528649/KdncagfG_normal.jpg")</f>
        <v>https://pbs.twimg.com/profile_images/1354944916636528649/KdncagfG_normal.jpg</v>
      </c>
      <c r="G274" s="66"/>
      <c r="H274" s="70" t="s">
        <v>365</v>
      </c>
      <c r="I274" s="71" t="s">
        <v>5820</v>
      </c>
      <c r="J274" s="71" t="s">
        <v>73</v>
      </c>
      <c r="K274" s="70" t="s">
        <v>2571</v>
      </c>
      <c r="L274" s="74">
        <v>1</v>
      </c>
      <c r="M274" s="75">
        <v>3483.241455078125</v>
      </c>
      <c r="N274" s="75">
        <v>7146.63623046875</v>
      </c>
      <c r="O274" s="76"/>
      <c r="P274" s="77"/>
      <c r="Q274" s="77"/>
      <c r="R274" s="104"/>
      <c r="S274" s="49">
        <v>0</v>
      </c>
      <c r="T274" s="49">
        <v>2</v>
      </c>
      <c r="U274" s="50">
        <v>2515.46867</v>
      </c>
      <c r="V274" s="50">
        <v>0.000983</v>
      </c>
      <c r="W274" s="50">
        <v>0.003719</v>
      </c>
      <c r="X274" s="50">
        <v>0.733404</v>
      </c>
      <c r="Y274" s="50">
        <v>0</v>
      </c>
      <c r="Z274" s="50">
        <v>0</v>
      </c>
      <c r="AA274" s="72">
        <v>274</v>
      </c>
      <c r="AB274" s="72"/>
      <c r="AC274" s="73"/>
      <c r="AD274" s="89" t="s">
        <v>1745</v>
      </c>
      <c r="AE274" s="102" t="s">
        <v>1950</v>
      </c>
      <c r="AF274" s="89">
        <v>141</v>
      </c>
      <c r="AG274" s="89">
        <v>180</v>
      </c>
      <c r="AH274" s="89">
        <v>954</v>
      </c>
      <c r="AI274" s="89">
        <v>23226</v>
      </c>
      <c r="AJ274" s="89"/>
      <c r="AK274" s="89" t="s">
        <v>2189</v>
      </c>
      <c r="AL274" s="89"/>
      <c r="AM274" s="89"/>
      <c r="AN274" s="89"/>
      <c r="AO274" s="92">
        <v>41524.40583333333</v>
      </c>
      <c r="AP274" s="95" t="str">
        <f>HYPERLINK("https://pbs.twimg.com/profile_banners/1744456844/1634154798")</f>
        <v>https://pbs.twimg.com/profile_banners/1744456844/1634154798</v>
      </c>
      <c r="AQ274" s="89" t="b">
        <v>1</v>
      </c>
      <c r="AR274" s="89" t="b">
        <v>0</v>
      </c>
      <c r="AS274" s="89" t="b">
        <v>0</v>
      </c>
      <c r="AT274" s="89"/>
      <c r="AU274" s="89">
        <v>0</v>
      </c>
      <c r="AV274" s="95" t="str">
        <f>HYPERLINK("https://abs.twimg.com/images/themes/theme1/bg.png")</f>
        <v>https://abs.twimg.com/images/themes/theme1/bg.png</v>
      </c>
      <c r="AW274" s="89" t="b">
        <v>0</v>
      </c>
      <c r="AX274" s="89" t="s">
        <v>2300</v>
      </c>
      <c r="AY274" s="95" t="str">
        <f>HYPERLINK("https://twitter.com/vuokkovirkki")</f>
        <v>https://twitter.com/vuokkovirkki</v>
      </c>
      <c r="AZ274" s="89" t="s">
        <v>66</v>
      </c>
      <c r="BA274" s="89" t="str">
        <f>REPLACE(INDEX(GroupVertices[Group],MATCH(Vertices[[#This Row],[Vertex]],GroupVertices[Vertex],0)),1,1,"")</f>
        <v>4</v>
      </c>
      <c r="BB274" s="49">
        <v>0</v>
      </c>
      <c r="BC274" s="50">
        <v>0</v>
      </c>
      <c r="BD274" s="49">
        <v>0</v>
      </c>
      <c r="BE274" s="50">
        <v>0</v>
      </c>
      <c r="BF274" s="49">
        <v>0</v>
      </c>
      <c r="BG274" s="50">
        <v>0</v>
      </c>
      <c r="BH274" s="49">
        <v>26</v>
      </c>
      <c r="BI274" s="50">
        <v>100</v>
      </c>
      <c r="BJ274" s="49">
        <v>26</v>
      </c>
      <c r="BK274" s="49" t="s">
        <v>5188</v>
      </c>
      <c r="BL274" s="49" t="s">
        <v>5188</v>
      </c>
      <c r="BM274" s="49" t="s">
        <v>693</v>
      </c>
      <c r="BN274" s="49" t="s">
        <v>693</v>
      </c>
      <c r="BO274" s="49"/>
      <c r="BP274" s="49"/>
      <c r="BQ274" s="123" t="s">
        <v>5644</v>
      </c>
      <c r="BR274" s="123" t="s">
        <v>5644</v>
      </c>
      <c r="BS274" s="123" t="s">
        <v>5793</v>
      </c>
      <c r="BT274" s="123" t="s">
        <v>5793</v>
      </c>
      <c r="BU274" s="2"/>
      <c r="BV274" s="3"/>
      <c r="BW274" s="3"/>
      <c r="BX274" s="3"/>
      <c r="BY274" s="3"/>
    </row>
    <row r="275" spans="1:77" ht="15">
      <c r="A275" s="65" t="s">
        <v>504</v>
      </c>
      <c r="B275" s="66"/>
      <c r="C275" s="66" t="s">
        <v>46</v>
      </c>
      <c r="D275" s="67">
        <v>10</v>
      </c>
      <c r="E275" s="69"/>
      <c r="F275" s="111" t="str">
        <f>HYPERLINK("https://pbs.twimg.com/profile_images/875476478988886016/_l61qZdR_normal.jpg")</f>
        <v>https://pbs.twimg.com/profile_images/875476478988886016/_l61qZdR_normal.jpg</v>
      </c>
      <c r="G275" s="66"/>
      <c r="H275" s="70" t="s">
        <v>504</v>
      </c>
      <c r="I275" s="71" t="s">
        <v>5834</v>
      </c>
      <c r="J275" s="71" t="s">
        <v>75</v>
      </c>
      <c r="K275" s="70" t="s">
        <v>2572</v>
      </c>
      <c r="L275" s="74">
        <v>477.0952380952381</v>
      </c>
      <c r="M275" s="75">
        <v>2951.83203125</v>
      </c>
      <c r="N275" s="75">
        <v>3428.612060546875</v>
      </c>
      <c r="O275" s="76"/>
      <c r="P275" s="77"/>
      <c r="Q275" s="77"/>
      <c r="R275" s="104"/>
      <c r="S275" s="49">
        <v>1</v>
      </c>
      <c r="T275" s="49">
        <v>0</v>
      </c>
      <c r="U275" s="50">
        <v>0</v>
      </c>
      <c r="V275" s="50">
        <v>0.000838</v>
      </c>
      <c r="W275" s="50">
        <v>0.004954</v>
      </c>
      <c r="X275" s="50">
        <v>0.34099</v>
      </c>
      <c r="Y275" s="50">
        <v>0</v>
      </c>
      <c r="Z275" s="50">
        <v>0</v>
      </c>
      <c r="AA275" s="72">
        <v>275</v>
      </c>
      <c r="AB275" s="72"/>
      <c r="AC275" s="73"/>
      <c r="AD275" s="89" t="s">
        <v>1746</v>
      </c>
      <c r="AE275" s="102" t="s">
        <v>1951</v>
      </c>
      <c r="AF275" s="89">
        <v>1751</v>
      </c>
      <c r="AG275" s="89">
        <v>10254812</v>
      </c>
      <c r="AH275" s="89">
        <v>66421</v>
      </c>
      <c r="AI275" s="89">
        <v>11942</v>
      </c>
      <c r="AJ275" s="89"/>
      <c r="AK275" s="89" t="s">
        <v>2190</v>
      </c>
      <c r="AL275" s="89" t="s">
        <v>2295</v>
      </c>
      <c r="AM275" s="95" t="str">
        <f>HYPERLINK("https://t.co/wVulKuROWG")</f>
        <v>https://t.co/wVulKuROWG</v>
      </c>
      <c r="AN275" s="89"/>
      <c r="AO275" s="92">
        <v>39561.83086805556</v>
      </c>
      <c r="AP275" s="95" t="str">
        <f>HYPERLINK("https://pbs.twimg.com/profile_banners/14499829/1610970935")</f>
        <v>https://pbs.twimg.com/profile_banners/14499829/1610970935</v>
      </c>
      <c r="AQ275" s="89" t="b">
        <v>0</v>
      </c>
      <c r="AR275" s="89" t="b">
        <v>0</v>
      </c>
      <c r="AS275" s="89" t="b">
        <v>1</v>
      </c>
      <c r="AT275" s="89"/>
      <c r="AU275" s="89">
        <v>34496</v>
      </c>
      <c r="AV275" s="95" t="str">
        <f>HYPERLINK("https://abs.twimg.com/images/themes/theme1/bg.png")</f>
        <v>https://abs.twimg.com/images/themes/theme1/bg.png</v>
      </c>
      <c r="AW275" s="89" t="b">
        <v>1</v>
      </c>
      <c r="AX275" s="89" t="s">
        <v>2300</v>
      </c>
      <c r="AY275" s="95" t="str">
        <f>HYPERLINK("https://twitter.com/who")</f>
        <v>https://twitter.com/who</v>
      </c>
      <c r="AZ275" s="89" t="s">
        <v>65</v>
      </c>
      <c r="BA275" s="89" t="str">
        <f>REPLACE(INDEX(GroupVertices[Group],MATCH(Vertices[[#This Row],[Vertex]],GroupVertices[Vertex],0)),1,1,"")</f>
        <v>3</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5" t="s">
        <v>505</v>
      </c>
      <c r="B276" s="66"/>
      <c r="C276" s="66" t="s">
        <v>46</v>
      </c>
      <c r="D276" s="67">
        <v>10</v>
      </c>
      <c r="E276" s="69"/>
      <c r="F276" s="111" t="str">
        <f>HYPERLINK("https://pbs.twimg.com/profile_images/1411932733887107073/pi09bQ2J_normal.jpg")</f>
        <v>https://pbs.twimg.com/profile_images/1411932733887107073/pi09bQ2J_normal.jpg</v>
      </c>
      <c r="G276" s="66"/>
      <c r="H276" s="70" t="s">
        <v>505</v>
      </c>
      <c r="I276" s="71" t="s">
        <v>5834</v>
      </c>
      <c r="J276" s="71" t="s">
        <v>75</v>
      </c>
      <c r="K276" s="70" t="s">
        <v>2573</v>
      </c>
      <c r="L276" s="74">
        <v>477.0952380952381</v>
      </c>
      <c r="M276" s="75">
        <v>3601.273681640625</v>
      </c>
      <c r="N276" s="75">
        <v>4870.70849609375</v>
      </c>
      <c r="O276" s="76"/>
      <c r="P276" s="77"/>
      <c r="Q276" s="77"/>
      <c r="R276" s="104"/>
      <c r="S276" s="49">
        <v>1</v>
      </c>
      <c r="T276" s="49">
        <v>0</v>
      </c>
      <c r="U276" s="50">
        <v>0</v>
      </c>
      <c r="V276" s="50">
        <v>0.000838</v>
      </c>
      <c r="W276" s="50">
        <v>0.004954</v>
      </c>
      <c r="X276" s="50">
        <v>0.34099</v>
      </c>
      <c r="Y276" s="50">
        <v>0</v>
      </c>
      <c r="Z276" s="50">
        <v>0</v>
      </c>
      <c r="AA276" s="72">
        <v>276</v>
      </c>
      <c r="AB276" s="72"/>
      <c r="AC276" s="73"/>
      <c r="AD276" s="89" t="s">
        <v>1747</v>
      </c>
      <c r="AE276" s="102" t="s">
        <v>1429</v>
      </c>
      <c r="AF276" s="89">
        <v>907</v>
      </c>
      <c r="AG276" s="89">
        <v>52981</v>
      </c>
      <c r="AH276" s="89">
        <v>19858</v>
      </c>
      <c r="AI276" s="89">
        <v>2955</v>
      </c>
      <c r="AJ276" s="89"/>
      <c r="AK276" s="89" t="s">
        <v>2191</v>
      </c>
      <c r="AL276" s="89" t="s">
        <v>2221</v>
      </c>
      <c r="AM276" s="95" t="str">
        <f>HYPERLINK("http://t.co/4reWFHYrrt")</f>
        <v>http://t.co/4reWFHYrrt</v>
      </c>
      <c r="AN276" s="89"/>
      <c r="AO276" s="92">
        <v>40128.603842592594</v>
      </c>
      <c r="AP276" s="95" t="str">
        <f>HYPERLINK("https://pbs.twimg.com/profile_banners/89196106/1578566124")</f>
        <v>https://pbs.twimg.com/profile_banners/89196106/1578566124</v>
      </c>
      <c r="AQ276" s="89" t="b">
        <v>0</v>
      </c>
      <c r="AR276" s="89" t="b">
        <v>0</v>
      </c>
      <c r="AS276" s="89" t="b">
        <v>1</v>
      </c>
      <c r="AT276" s="89"/>
      <c r="AU276" s="89">
        <v>294</v>
      </c>
      <c r="AV276" s="95" t="str">
        <f>HYPERLINK("https://abs.twimg.com/images/themes/theme19/bg.gif")</f>
        <v>https://abs.twimg.com/images/themes/theme19/bg.gif</v>
      </c>
      <c r="AW276" s="89" t="b">
        <v>1</v>
      </c>
      <c r="AX276" s="89" t="s">
        <v>2300</v>
      </c>
      <c r="AY276" s="95" t="str">
        <f>HYPERLINK("https://twitter.com/stm_uutiset")</f>
        <v>https://twitter.com/stm_uutiset</v>
      </c>
      <c r="AZ276" s="89" t="s">
        <v>65</v>
      </c>
      <c r="BA276" s="89" t="str">
        <f>REPLACE(INDEX(GroupVertices[Group],MATCH(Vertices[[#This Row],[Vertex]],GroupVertices[Vertex],0)),1,1,"")</f>
        <v>3</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5" t="s">
        <v>506</v>
      </c>
      <c r="B277" s="66"/>
      <c r="C277" s="66" t="s">
        <v>46</v>
      </c>
      <c r="D277" s="67">
        <v>10</v>
      </c>
      <c r="E277" s="69"/>
      <c r="F277" s="111" t="str">
        <f>HYPERLINK("https://pbs.twimg.com/profile_images/957702518930362370/hpfBosNO_normal.jpg")</f>
        <v>https://pbs.twimg.com/profile_images/957702518930362370/hpfBosNO_normal.jpg</v>
      </c>
      <c r="G277" s="66"/>
      <c r="H277" s="70" t="s">
        <v>506</v>
      </c>
      <c r="I277" s="71" t="s">
        <v>5834</v>
      </c>
      <c r="J277" s="71" t="s">
        <v>75</v>
      </c>
      <c r="K277" s="70" t="s">
        <v>2574</v>
      </c>
      <c r="L277" s="74">
        <v>477.0952380952381</v>
      </c>
      <c r="M277" s="75">
        <v>3015.67578125</v>
      </c>
      <c r="N277" s="75">
        <v>2744.828857421875</v>
      </c>
      <c r="O277" s="76"/>
      <c r="P277" s="77"/>
      <c r="Q277" s="77"/>
      <c r="R277" s="104"/>
      <c r="S277" s="49">
        <v>1</v>
      </c>
      <c r="T277" s="49">
        <v>0</v>
      </c>
      <c r="U277" s="50">
        <v>0</v>
      </c>
      <c r="V277" s="50">
        <v>0.000838</v>
      </c>
      <c r="W277" s="50">
        <v>0.004954</v>
      </c>
      <c r="X277" s="50">
        <v>0.34099</v>
      </c>
      <c r="Y277" s="50">
        <v>0</v>
      </c>
      <c r="Z277" s="50">
        <v>0</v>
      </c>
      <c r="AA277" s="72">
        <v>277</v>
      </c>
      <c r="AB277" s="72"/>
      <c r="AC277" s="73"/>
      <c r="AD277" s="89" t="s">
        <v>1748</v>
      </c>
      <c r="AE277" s="102" t="s">
        <v>1952</v>
      </c>
      <c r="AF277" s="89">
        <v>444</v>
      </c>
      <c r="AG277" s="89">
        <v>464</v>
      </c>
      <c r="AH277" s="89">
        <v>18752</v>
      </c>
      <c r="AI277" s="89">
        <v>35017</v>
      </c>
      <c r="AJ277" s="89"/>
      <c r="AK277" s="89" t="s">
        <v>2192</v>
      </c>
      <c r="AL277" s="89" t="s">
        <v>2221</v>
      </c>
      <c r="AM277" s="89"/>
      <c r="AN277" s="89"/>
      <c r="AO277" s="92">
        <v>43128.73270833334</v>
      </c>
      <c r="AP277" s="95" t="str">
        <f>HYPERLINK("https://pbs.twimg.com/profile_banners/957668367627948033/1537944466")</f>
        <v>https://pbs.twimg.com/profile_banners/957668367627948033/1537944466</v>
      </c>
      <c r="AQ277" s="89" t="b">
        <v>0</v>
      </c>
      <c r="AR277" s="89" t="b">
        <v>0</v>
      </c>
      <c r="AS277" s="89" t="b">
        <v>0</v>
      </c>
      <c r="AT277" s="89"/>
      <c r="AU277" s="89">
        <v>0</v>
      </c>
      <c r="AV277" s="95" t="str">
        <f>HYPERLINK("https://abs.twimg.com/images/themes/theme1/bg.png")</f>
        <v>https://abs.twimg.com/images/themes/theme1/bg.png</v>
      </c>
      <c r="AW277" s="89" t="b">
        <v>0</v>
      </c>
      <c r="AX277" s="89" t="s">
        <v>2300</v>
      </c>
      <c r="AY277" s="95" t="str">
        <f>HYPERLINK("https://twitter.com/salineero")</f>
        <v>https://twitter.com/salineero</v>
      </c>
      <c r="AZ277" s="89" t="s">
        <v>65</v>
      </c>
      <c r="BA277" s="89" t="str">
        <f>REPLACE(INDEX(GroupVertices[Group],MATCH(Vertices[[#This Row],[Vertex]],GroupVertices[Vertex],0)),1,1,"")</f>
        <v>3</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5" t="s">
        <v>369</v>
      </c>
      <c r="B278" s="66"/>
      <c r="C278" s="66" t="s">
        <v>46</v>
      </c>
      <c r="D278" s="67"/>
      <c r="E278" s="69"/>
      <c r="F278" s="111" t="str">
        <f>HYPERLINK("https://pbs.twimg.com/profile_images/1326864176388714498/Fo3uR9Do_normal.jpg")</f>
        <v>https://pbs.twimg.com/profile_images/1326864176388714498/Fo3uR9Do_normal.jpg</v>
      </c>
      <c r="G278" s="66"/>
      <c r="H278" s="70" t="s">
        <v>369</v>
      </c>
      <c r="I278" s="71" t="s">
        <v>5822</v>
      </c>
      <c r="J278" s="71" t="s">
        <v>73</v>
      </c>
      <c r="K278" s="70" t="s">
        <v>2575</v>
      </c>
      <c r="L278" s="74">
        <v>1</v>
      </c>
      <c r="M278" s="75">
        <v>5969.689453125</v>
      </c>
      <c r="N278" s="75">
        <v>8867.6865234375</v>
      </c>
      <c r="O278" s="76"/>
      <c r="P278" s="77"/>
      <c r="Q278" s="77"/>
      <c r="R278" s="104"/>
      <c r="S278" s="49">
        <v>0</v>
      </c>
      <c r="T278" s="49">
        <v>2</v>
      </c>
      <c r="U278" s="50">
        <v>0</v>
      </c>
      <c r="V278" s="50">
        <v>0.000867</v>
      </c>
      <c r="W278" s="50">
        <v>0.001293</v>
      </c>
      <c r="X278" s="50">
        <v>0.647501</v>
      </c>
      <c r="Y278" s="50">
        <v>0.5</v>
      </c>
      <c r="Z278" s="50">
        <v>0</v>
      </c>
      <c r="AA278" s="72">
        <v>278</v>
      </c>
      <c r="AB278" s="72"/>
      <c r="AC278" s="73"/>
      <c r="AD278" s="89" t="s">
        <v>1749</v>
      </c>
      <c r="AE278" s="102" t="s">
        <v>1953</v>
      </c>
      <c r="AF278" s="89">
        <v>238</v>
      </c>
      <c r="AG278" s="89">
        <v>15</v>
      </c>
      <c r="AH278" s="89">
        <v>1236</v>
      </c>
      <c r="AI278" s="89">
        <v>2050</v>
      </c>
      <c r="AJ278" s="89"/>
      <c r="AK278" s="89" t="s">
        <v>2193</v>
      </c>
      <c r="AL278" s="89" t="s">
        <v>2223</v>
      </c>
      <c r="AM278" s="89"/>
      <c r="AN278" s="89"/>
      <c r="AO278" s="92">
        <v>42699.42084490741</v>
      </c>
      <c r="AP278" s="89"/>
      <c r="AQ278" s="89" t="b">
        <v>1</v>
      </c>
      <c r="AR278" s="89" t="b">
        <v>0</v>
      </c>
      <c r="AS278" s="89" t="b">
        <v>0</v>
      </c>
      <c r="AT278" s="89"/>
      <c r="AU278" s="89">
        <v>0</v>
      </c>
      <c r="AV278" s="89"/>
      <c r="AW278" s="89" t="b">
        <v>0</v>
      </c>
      <c r="AX278" s="89" t="s">
        <v>2300</v>
      </c>
      <c r="AY278" s="95" t="str">
        <f>HYPERLINK("https://twitter.com/marquez_fi")</f>
        <v>https://twitter.com/marquez_fi</v>
      </c>
      <c r="AZ278" s="89" t="s">
        <v>66</v>
      </c>
      <c r="BA278" s="89" t="str">
        <f>REPLACE(INDEX(GroupVertices[Group],MATCH(Vertices[[#This Row],[Vertex]],GroupVertices[Vertex],0)),1,1,"")</f>
        <v>5</v>
      </c>
      <c r="BB278" s="49">
        <v>0</v>
      </c>
      <c r="BC278" s="50">
        <v>0</v>
      </c>
      <c r="BD278" s="49">
        <v>0</v>
      </c>
      <c r="BE278" s="50">
        <v>0</v>
      </c>
      <c r="BF278" s="49">
        <v>0</v>
      </c>
      <c r="BG278" s="50">
        <v>0</v>
      </c>
      <c r="BH278" s="49">
        <v>7</v>
      </c>
      <c r="BI278" s="50">
        <v>100</v>
      </c>
      <c r="BJ278" s="49">
        <v>7</v>
      </c>
      <c r="BK278" s="49"/>
      <c r="BL278" s="49"/>
      <c r="BM278" s="49"/>
      <c r="BN278" s="49"/>
      <c r="BO278" s="49"/>
      <c r="BP278" s="49"/>
      <c r="BQ278" s="123" t="s">
        <v>5645</v>
      </c>
      <c r="BR278" s="123" t="s">
        <v>5645</v>
      </c>
      <c r="BS278" s="123" t="s">
        <v>5794</v>
      </c>
      <c r="BT278" s="123" t="s">
        <v>5794</v>
      </c>
      <c r="BU278" s="2"/>
      <c r="BV278" s="3"/>
      <c r="BW278" s="3"/>
      <c r="BX278" s="3"/>
      <c r="BY278" s="3"/>
    </row>
    <row r="279" spans="1:77" ht="15">
      <c r="A279" s="65" t="s">
        <v>370</v>
      </c>
      <c r="B279" s="66"/>
      <c r="C279" s="66" t="s">
        <v>46</v>
      </c>
      <c r="D279" s="67"/>
      <c r="E279" s="69"/>
      <c r="F279" s="111" t="str">
        <f>HYPERLINK("https://pbs.twimg.com/profile_images/1447845745156050945/FmjlU0uZ_normal.jpg")</f>
        <v>https://pbs.twimg.com/profile_images/1447845745156050945/FmjlU0uZ_normal.jpg</v>
      </c>
      <c r="G279" s="66"/>
      <c r="H279" s="70" t="s">
        <v>370</v>
      </c>
      <c r="I279" s="71" t="s">
        <v>5835</v>
      </c>
      <c r="J279" s="71" t="s">
        <v>73</v>
      </c>
      <c r="K279" s="70" t="s">
        <v>2576</v>
      </c>
      <c r="L279" s="74">
        <v>1</v>
      </c>
      <c r="M279" s="75">
        <v>7778.4775390625</v>
      </c>
      <c r="N279" s="75">
        <v>2829.537841796875</v>
      </c>
      <c r="O279" s="76"/>
      <c r="P279" s="77"/>
      <c r="Q279" s="77"/>
      <c r="R279" s="104"/>
      <c r="S279" s="49">
        <v>0</v>
      </c>
      <c r="T279" s="49">
        <v>2</v>
      </c>
      <c r="U279" s="50">
        <v>2</v>
      </c>
      <c r="V279" s="50">
        <v>0.5</v>
      </c>
      <c r="W279" s="50">
        <v>0</v>
      </c>
      <c r="X279" s="50">
        <v>1.459457</v>
      </c>
      <c r="Y279" s="50">
        <v>0</v>
      </c>
      <c r="Z279" s="50">
        <v>0</v>
      </c>
      <c r="AA279" s="72">
        <v>279</v>
      </c>
      <c r="AB279" s="72"/>
      <c r="AC279" s="73"/>
      <c r="AD279" s="89" t="s">
        <v>1750</v>
      </c>
      <c r="AE279" s="102" t="s">
        <v>1954</v>
      </c>
      <c r="AF279" s="89">
        <v>80</v>
      </c>
      <c r="AG279" s="89">
        <v>41</v>
      </c>
      <c r="AH279" s="89">
        <v>1759</v>
      </c>
      <c r="AI279" s="89">
        <v>1140</v>
      </c>
      <c r="AJ279" s="89"/>
      <c r="AK279" s="89" t="s">
        <v>2194</v>
      </c>
      <c r="AL279" s="89" t="s">
        <v>2296</v>
      </c>
      <c r="AM279" s="89"/>
      <c r="AN279" s="89"/>
      <c r="AO279" s="92">
        <v>42864.613599537035</v>
      </c>
      <c r="AP279" s="89"/>
      <c r="AQ279" s="89" t="b">
        <v>1</v>
      </c>
      <c r="AR279" s="89" t="b">
        <v>0</v>
      </c>
      <c r="AS279" s="89" t="b">
        <v>0</v>
      </c>
      <c r="AT279" s="89"/>
      <c r="AU279" s="89">
        <v>1</v>
      </c>
      <c r="AV279" s="89"/>
      <c r="AW279" s="89" t="b">
        <v>0</v>
      </c>
      <c r="AX279" s="89" t="s">
        <v>2300</v>
      </c>
      <c r="AY279" s="95" t="str">
        <f>HYPERLINK("https://twitter.com/nestorihuuskon1")</f>
        <v>https://twitter.com/nestorihuuskon1</v>
      </c>
      <c r="AZ279" s="89" t="s">
        <v>66</v>
      </c>
      <c r="BA279" s="89" t="str">
        <f>REPLACE(INDEX(GroupVertices[Group],MATCH(Vertices[[#This Row],[Vertex]],GroupVertices[Vertex],0)),1,1,"")</f>
        <v>17</v>
      </c>
      <c r="BB279" s="49">
        <v>0</v>
      </c>
      <c r="BC279" s="50">
        <v>0</v>
      </c>
      <c r="BD279" s="49">
        <v>0</v>
      </c>
      <c r="BE279" s="50">
        <v>0</v>
      </c>
      <c r="BF279" s="49">
        <v>0</v>
      </c>
      <c r="BG279" s="50">
        <v>0</v>
      </c>
      <c r="BH279" s="49">
        <v>6</v>
      </c>
      <c r="BI279" s="50">
        <v>100</v>
      </c>
      <c r="BJ279" s="49">
        <v>6</v>
      </c>
      <c r="BK279" s="49"/>
      <c r="BL279" s="49"/>
      <c r="BM279" s="49"/>
      <c r="BN279" s="49"/>
      <c r="BO279" s="49"/>
      <c r="BP279" s="49"/>
      <c r="BQ279" s="123" t="s">
        <v>5646</v>
      </c>
      <c r="BR279" s="123" t="s">
        <v>5646</v>
      </c>
      <c r="BS279" s="123" t="s">
        <v>5795</v>
      </c>
      <c r="BT279" s="123" t="s">
        <v>5795</v>
      </c>
      <c r="BU279" s="2"/>
      <c r="BV279" s="3"/>
      <c r="BW279" s="3"/>
      <c r="BX279" s="3"/>
      <c r="BY279" s="3"/>
    </row>
    <row r="280" spans="1:77" ht="15">
      <c r="A280" s="65" t="s">
        <v>507</v>
      </c>
      <c r="B280" s="66"/>
      <c r="C280" s="66" t="s">
        <v>46</v>
      </c>
      <c r="D280" s="67">
        <v>10</v>
      </c>
      <c r="E280" s="69"/>
      <c r="F280" s="111" t="str">
        <f>HYPERLINK("https://pbs.twimg.com/profile_images/1448374920904380419/8-LxFg8W_normal.jpg")</f>
        <v>https://pbs.twimg.com/profile_images/1448374920904380419/8-LxFg8W_normal.jpg</v>
      </c>
      <c r="G280" s="66"/>
      <c r="H280" s="70" t="s">
        <v>507</v>
      </c>
      <c r="I280" s="71" t="s">
        <v>5835</v>
      </c>
      <c r="J280" s="71" t="s">
        <v>75</v>
      </c>
      <c r="K280" s="70" t="s">
        <v>2577</v>
      </c>
      <c r="L280" s="74">
        <v>477.0952380952381</v>
      </c>
      <c r="M280" s="75">
        <v>7778.4775390625</v>
      </c>
      <c r="N280" s="75">
        <v>2400.228271484375</v>
      </c>
      <c r="O280" s="76"/>
      <c r="P280" s="77"/>
      <c r="Q280" s="77"/>
      <c r="R280" s="104"/>
      <c r="S280" s="49">
        <v>1</v>
      </c>
      <c r="T280" s="49">
        <v>0</v>
      </c>
      <c r="U280" s="50">
        <v>0</v>
      </c>
      <c r="V280" s="50">
        <v>0.333333</v>
      </c>
      <c r="W280" s="50">
        <v>0</v>
      </c>
      <c r="X280" s="50">
        <v>0.770269</v>
      </c>
      <c r="Y280" s="50">
        <v>0</v>
      </c>
      <c r="Z280" s="50">
        <v>0</v>
      </c>
      <c r="AA280" s="72">
        <v>280</v>
      </c>
      <c r="AB280" s="72"/>
      <c r="AC280" s="73"/>
      <c r="AD280" s="89" t="s">
        <v>1751</v>
      </c>
      <c r="AE280" s="102" t="s">
        <v>1955</v>
      </c>
      <c r="AF280" s="89">
        <v>1225</v>
      </c>
      <c r="AG280" s="89">
        <v>32745</v>
      </c>
      <c r="AH280" s="89">
        <v>25244</v>
      </c>
      <c r="AI280" s="89">
        <v>8162</v>
      </c>
      <c r="AJ280" s="89"/>
      <c r="AK280" s="89" t="s">
        <v>2195</v>
      </c>
      <c r="AL280" s="89" t="s">
        <v>2229</v>
      </c>
      <c r="AM280" s="95" t="str">
        <f>HYPERLINK("https://t.co/KUKN04pEHA")</f>
        <v>https://t.co/KUKN04pEHA</v>
      </c>
      <c r="AN280" s="89"/>
      <c r="AO280" s="92">
        <v>39959.61907407407</v>
      </c>
      <c r="AP280" s="95" t="str">
        <f>HYPERLINK("https://pbs.twimg.com/profile_banners/42638972/1634154432")</f>
        <v>https://pbs.twimg.com/profile_banners/42638972/1634154432</v>
      </c>
      <c r="AQ280" s="89" t="b">
        <v>0</v>
      </c>
      <c r="AR280" s="89" t="b">
        <v>0</v>
      </c>
      <c r="AS280" s="89" t="b">
        <v>1</v>
      </c>
      <c r="AT280" s="89"/>
      <c r="AU280" s="89">
        <v>43</v>
      </c>
      <c r="AV280" s="95" t="str">
        <f>HYPERLINK("https://abs.twimg.com/images/themes/theme17/bg.gif")</f>
        <v>https://abs.twimg.com/images/themes/theme17/bg.gif</v>
      </c>
      <c r="AW280" s="89" t="b">
        <v>0</v>
      </c>
      <c r="AX280" s="89" t="s">
        <v>2300</v>
      </c>
      <c r="AY280" s="95" t="str">
        <f>HYPERLINK("https://twitter.com/ivanpuopolo")</f>
        <v>https://twitter.com/ivanpuopolo</v>
      </c>
      <c r="AZ280" s="89" t="s">
        <v>65</v>
      </c>
      <c r="BA280" s="89" t="str">
        <f>REPLACE(INDEX(GroupVertices[Group],MATCH(Vertices[[#This Row],[Vertex]],GroupVertices[Vertex],0)),1,1,"")</f>
        <v>17</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5" t="s">
        <v>508</v>
      </c>
      <c r="B281" s="66"/>
      <c r="C281" s="66" t="s">
        <v>46</v>
      </c>
      <c r="D281" s="67">
        <v>10</v>
      </c>
      <c r="E281" s="69"/>
      <c r="F281" s="111" t="str">
        <f>HYPERLINK("https://pbs.twimg.com/profile_images/604026915490525185/_rxHtpXJ_normal.jpg")</f>
        <v>https://pbs.twimg.com/profile_images/604026915490525185/_rxHtpXJ_normal.jpg</v>
      </c>
      <c r="G281" s="66"/>
      <c r="H281" s="70" t="s">
        <v>508</v>
      </c>
      <c r="I281" s="71" t="s">
        <v>5835</v>
      </c>
      <c r="J281" s="71" t="s">
        <v>75</v>
      </c>
      <c r="K281" s="70" t="s">
        <v>2578</v>
      </c>
      <c r="L281" s="74">
        <v>477.0952380952381</v>
      </c>
      <c r="M281" s="75">
        <v>7778.4775390625</v>
      </c>
      <c r="N281" s="75">
        <v>1970.9189453125</v>
      </c>
      <c r="O281" s="76"/>
      <c r="P281" s="77"/>
      <c r="Q281" s="77"/>
      <c r="R281" s="104"/>
      <c r="S281" s="49">
        <v>1</v>
      </c>
      <c r="T281" s="49">
        <v>0</v>
      </c>
      <c r="U281" s="50">
        <v>0</v>
      </c>
      <c r="V281" s="50">
        <v>0.333333</v>
      </c>
      <c r="W281" s="50">
        <v>0</v>
      </c>
      <c r="X281" s="50">
        <v>0.770269</v>
      </c>
      <c r="Y281" s="50">
        <v>0</v>
      </c>
      <c r="Z281" s="50">
        <v>0</v>
      </c>
      <c r="AA281" s="72">
        <v>281</v>
      </c>
      <c r="AB281" s="72"/>
      <c r="AC281" s="73"/>
      <c r="AD281" s="89" t="s">
        <v>1752</v>
      </c>
      <c r="AE281" s="102" t="s">
        <v>1432</v>
      </c>
      <c r="AF281" s="89">
        <v>261</v>
      </c>
      <c r="AG281" s="89">
        <v>17</v>
      </c>
      <c r="AH281" s="89">
        <v>406</v>
      </c>
      <c r="AI281" s="89">
        <v>637</v>
      </c>
      <c r="AJ281" s="89"/>
      <c r="AK281" s="89" t="s">
        <v>2196</v>
      </c>
      <c r="AL281" s="89" t="s">
        <v>2297</v>
      </c>
      <c r="AM281" s="89"/>
      <c r="AN281" s="89"/>
      <c r="AO281" s="92">
        <v>40607.525729166664</v>
      </c>
      <c r="AP281" s="89"/>
      <c r="AQ281" s="89" t="b">
        <v>1</v>
      </c>
      <c r="AR281" s="89" t="b">
        <v>0</v>
      </c>
      <c r="AS281" s="89" t="b">
        <v>0</v>
      </c>
      <c r="AT281" s="89"/>
      <c r="AU281" s="89">
        <v>1</v>
      </c>
      <c r="AV281" s="95" t="str">
        <f>HYPERLINK("https://abs.twimg.com/images/themes/theme1/bg.png")</f>
        <v>https://abs.twimg.com/images/themes/theme1/bg.png</v>
      </c>
      <c r="AW281" s="89" t="b">
        <v>0</v>
      </c>
      <c r="AX281" s="89" t="s">
        <v>2300</v>
      </c>
      <c r="AY281" s="95" t="str">
        <f>HYPERLINK("https://twitter.com/anttigee")</f>
        <v>https://twitter.com/anttigee</v>
      </c>
      <c r="AZ281" s="89" t="s">
        <v>65</v>
      </c>
      <c r="BA281" s="89" t="str">
        <f>REPLACE(INDEX(GroupVertices[Group],MATCH(Vertices[[#This Row],[Vertex]],GroupVertices[Vertex],0)),1,1,"")</f>
        <v>17</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5" t="s">
        <v>371</v>
      </c>
      <c r="B282" s="66"/>
      <c r="C282" s="66" t="s">
        <v>46</v>
      </c>
      <c r="D282" s="67"/>
      <c r="E282" s="69"/>
      <c r="F282" s="111" t="str">
        <f>HYPERLINK("https://pbs.twimg.com/profile_images/1034975339372576769/prCDWiiv_normal.jpg")</f>
        <v>https://pbs.twimg.com/profile_images/1034975339372576769/prCDWiiv_normal.jpg</v>
      </c>
      <c r="G282" s="66"/>
      <c r="H282" s="70" t="s">
        <v>371</v>
      </c>
      <c r="I282" s="71" t="s">
        <v>5818</v>
      </c>
      <c r="J282" s="71" t="s">
        <v>73</v>
      </c>
      <c r="K282" s="70" t="s">
        <v>2579</v>
      </c>
      <c r="L282" s="74">
        <v>1</v>
      </c>
      <c r="M282" s="75">
        <v>1874.1490478515625</v>
      </c>
      <c r="N282" s="75">
        <v>5171.29150390625</v>
      </c>
      <c r="O282" s="76"/>
      <c r="P282" s="77"/>
      <c r="Q282" s="77"/>
      <c r="R282" s="104"/>
      <c r="S282" s="49">
        <v>0</v>
      </c>
      <c r="T282" s="49">
        <v>2</v>
      </c>
      <c r="U282" s="50">
        <v>488</v>
      </c>
      <c r="V282" s="50">
        <v>0.000928</v>
      </c>
      <c r="W282" s="50">
        <v>0.003678</v>
      </c>
      <c r="X282" s="50">
        <v>0.818327</v>
      </c>
      <c r="Y282" s="50">
        <v>0</v>
      </c>
      <c r="Z282" s="50">
        <v>0</v>
      </c>
      <c r="AA282" s="72">
        <v>282</v>
      </c>
      <c r="AB282" s="72"/>
      <c r="AC282" s="73"/>
      <c r="AD282" s="89" t="s">
        <v>1753</v>
      </c>
      <c r="AE282" s="102" t="s">
        <v>1956</v>
      </c>
      <c r="AF282" s="89">
        <v>585</v>
      </c>
      <c r="AG282" s="89">
        <v>354</v>
      </c>
      <c r="AH282" s="89">
        <v>19276</v>
      </c>
      <c r="AI282" s="89">
        <v>52709</v>
      </c>
      <c r="AJ282" s="89"/>
      <c r="AK282" s="89" t="s">
        <v>2197</v>
      </c>
      <c r="AL282" s="89"/>
      <c r="AM282" s="89"/>
      <c r="AN282" s="89"/>
      <c r="AO282" s="92">
        <v>41136.40047453704</v>
      </c>
      <c r="AP282" s="89"/>
      <c r="AQ282" s="89" t="b">
        <v>1</v>
      </c>
      <c r="AR282" s="89" t="b">
        <v>0</v>
      </c>
      <c r="AS282" s="89" t="b">
        <v>0</v>
      </c>
      <c r="AT282" s="89"/>
      <c r="AU282" s="89">
        <v>0</v>
      </c>
      <c r="AV282" s="95" t="str">
        <f>HYPERLINK("https://abs.twimg.com/images/themes/theme1/bg.png")</f>
        <v>https://abs.twimg.com/images/themes/theme1/bg.png</v>
      </c>
      <c r="AW282" s="89" t="b">
        <v>0</v>
      </c>
      <c r="AX282" s="89" t="s">
        <v>2300</v>
      </c>
      <c r="AY282" s="95" t="str">
        <f>HYPERLINK("https://twitter.com/ehle81")</f>
        <v>https://twitter.com/ehle81</v>
      </c>
      <c r="AZ282" s="89" t="s">
        <v>66</v>
      </c>
      <c r="BA282" s="89" t="str">
        <f>REPLACE(INDEX(GroupVertices[Group],MATCH(Vertices[[#This Row],[Vertex]],GroupVertices[Vertex],0)),1,1,"")</f>
        <v>1</v>
      </c>
      <c r="BB282" s="49">
        <v>0</v>
      </c>
      <c r="BC282" s="50">
        <v>0</v>
      </c>
      <c r="BD282" s="49">
        <v>0</v>
      </c>
      <c r="BE282" s="50">
        <v>0</v>
      </c>
      <c r="BF282" s="49">
        <v>0</v>
      </c>
      <c r="BG282" s="50">
        <v>0</v>
      </c>
      <c r="BH282" s="49">
        <v>11</v>
      </c>
      <c r="BI282" s="50">
        <v>100</v>
      </c>
      <c r="BJ282" s="49">
        <v>11</v>
      </c>
      <c r="BK282" s="49" t="s">
        <v>5188</v>
      </c>
      <c r="BL282" s="49" t="s">
        <v>5188</v>
      </c>
      <c r="BM282" s="49" t="s">
        <v>693</v>
      </c>
      <c r="BN282" s="49" t="s">
        <v>693</v>
      </c>
      <c r="BO282" s="49"/>
      <c r="BP282" s="49"/>
      <c r="BQ282" s="123" t="s">
        <v>5647</v>
      </c>
      <c r="BR282" s="123" t="s">
        <v>5647</v>
      </c>
      <c r="BS282" s="123" t="s">
        <v>5796</v>
      </c>
      <c r="BT282" s="123" t="s">
        <v>5796</v>
      </c>
      <c r="BU282" s="2"/>
      <c r="BV282" s="3"/>
      <c r="BW282" s="3"/>
      <c r="BX282" s="3"/>
      <c r="BY282" s="3"/>
    </row>
    <row r="283" spans="1:77" ht="15">
      <c r="A283" s="65" t="s">
        <v>509</v>
      </c>
      <c r="B283" s="66"/>
      <c r="C283" s="66" t="s">
        <v>46</v>
      </c>
      <c r="D283" s="67">
        <v>10</v>
      </c>
      <c r="E283" s="69"/>
      <c r="F283" s="111" t="str">
        <f>HYPERLINK("https://pbs.twimg.com/profile_images/1301890079/2US_NAPPI_128x128_normal.png")</f>
        <v>https://pbs.twimg.com/profile_images/1301890079/2US_NAPPI_128x128_normal.png</v>
      </c>
      <c r="G283" s="66"/>
      <c r="H283" s="70" t="s">
        <v>509</v>
      </c>
      <c r="I283" s="71" t="s">
        <v>5818</v>
      </c>
      <c r="J283" s="71" t="s">
        <v>75</v>
      </c>
      <c r="K283" s="70" t="s">
        <v>2580</v>
      </c>
      <c r="L283" s="74">
        <v>477.0952380952381</v>
      </c>
      <c r="M283" s="75">
        <v>2268.250732421875</v>
      </c>
      <c r="N283" s="75">
        <v>4816.16259765625</v>
      </c>
      <c r="O283" s="76"/>
      <c r="P283" s="77"/>
      <c r="Q283" s="77"/>
      <c r="R283" s="104"/>
      <c r="S283" s="49">
        <v>1</v>
      </c>
      <c r="T283" s="49">
        <v>0</v>
      </c>
      <c r="U283" s="50">
        <v>0</v>
      </c>
      <c r="V283" s="50">
        <v>0.000756</v>
      </c>
      <c r="W283" s="50">
        <v>0.000429</v>
      </c>
      <c r="X283" s="50">
        <v>0.497789</v>
      </c>
      <c r="Y283" s="50">
        <v>0</v>
      </c>
      <c r="Z283" s="50">
        <v>0</v>
      </c>
      <c r="AA283" s="72">
        <v>283</v>
      </c>
      <c r="AB283" s="72"/>
      <c r="AC283" s="73"/>
      <c r="AD283" s="89" t="s">
        <v>1754</v>
      </c>
      <c r="AE283" s="102" t="s">
        <v>1433</v>
      </c>
      <c r="AF283" s="89">
        <v>7611</v>
      </c>
      <c r="AG283" s="89">
        <v>42240</v>
      </c>
      <c r="AH283" s="89">
        <v>62248</v>
      </c>
      <c r="AI283" s="89">
        <v>654</v>
      </c>
      <c r="AJ283" s="89"/>
      <c r="AK283" s="89" t="s">
        <v>2198</v>
      </c>
      <c r="AL283" s="89"/>
      <c r="AM283" s="95" t="str">
        <f>HYPERLINK("http://t.co/op1bW3Xh1U")</f>
        <v>http://t.co/op1bW3Xh1U</v>
      </c>
      <c r="AN283" s="89"/>
      <c r="AO283" s="92">
        <v>39912.2715625</v>
      </c>
      <c r="AP283" s="95" t="str">
        <f>HYPERLINK("https://pbs.twimg.com/profile_banners/29936649/1573742462")</f>
        <v>https://pbs.twimg.com/profile_banners/29936649/1573742462</v>
      </c>
      <c r="AQ283" s="89" t="b">
        <v>0</v>
      </c>
      <c r="AR283" s="89" t="b">
        <v>0</v>
      </c>
      <c r="AS283" s="89" t="b">
        <v>1</v>
      </c>
      <c r="AT283" s="89"/>
      <c r="AU283" s="89">
        <v>450</v>
      </c>
      <c r="AV283" s="95" t="str">
        <f>HYPERLINK("https://abs.twimg.com/images/themes/theme6/bg.gif")</f>
        <v>https://abs.twimg.com/images/themes/theme6/bg.gif</v>
      </c>
      <c r="AW283" s="89" t="b">
        <v>0</v>
      </c>
      <c r="AX283" s="89" t="s">
        <v>2300</v>
      </c>
      <c r="AY283" s="95" t="str">
        <f>HYPERLINK("https://twitter.com/uusisuomi")</f>
        <v>https://twitter.com/uusisuomi</v>
      </c>
      <c r="AZ283" s="89" t="s">
        <v>65</v>
      </c>
      <c r="BA283" s="89" t="str">
        <f>REPLACE(INDEX(GroupVertices[Group],MATCH(Vertices[[#This Row],[Vertex]],GroupVertices[Vertex],0)),1,1,"")</f>
        <v>1</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5" t="s">
        <v>373</v>
      </c>
      <c r="B284" s="66"/>
      <c r="C284" s="66" t="s">
        <v>46</v>
      </c>
      <c r="D284" s="67">
        <v>10</v>
      </c>
      <c r="E284" s="69"/>
      <c r="F284" s="111" t="str">
        <f>HYPERLINK("https://pbs.twimg.com/profile_images/1418919134243528705/xm1wKqxb_normal.jpg")</f>
        <v>https://pbs.twimg.com/profile_images/1418919134243528705/xm1wKqxb_normal.jpg</v>
      </c>
      <c r="G284" s="66"/>
      <c r="H284" s="70" t="s">
        <v>373</v>
      </c>
      <c r="I284" s="71" t="s">
        <v>5821</v>
      </c>
      <c r="J284" s="71" t="s">
        <v>73</v>
      </c>
      <c r="K284" s="70" t="s">
        <v>2581</v>
      </c>
      <c r="L284" s="74">
        <v>477.0952380952381</v>
      </c>
      <c r="M284" s="75">
        <v>2031.2578125</v>
      </c>
      <c r="N284" s="75">
        <v>1549.1646728515625</v>
      </c>
      <c r="O284" s="76"/>
      <c r="P284" s="77"/>
      <c r="Q284" s="77"/>
      <c r="R284" s="104"/>
      <c r="S284" s="49">
        <v>1</v>
      </c>
      <c r="T284" s="49">
        <v>6</v>
      </c>
      <c r="U284" s="50">
        <v>974.095238</v>
      </c>
      <c r="V284" s="50">
        <v>0.000893</v>
      </c>
      <c r="W284" s="50">
        <v>0.001591</v>
      </c>
      <c r="X284" s="50">
        <v>1.589023</v>
      </c>
      <c r="Y284" s="50">
        <v>0.1</v>
      </c>
      <c r="Z284" s="50">
        <v>0</v>
      </c>
      <c r="AA284" s="72">
        <v>284</v>
      </c>
      <c r="AB284" s="72"/>
      <c r="AC284" s="73"/>
      <c r="AD284" s="89" t="s">
        <v>1755</v>
      </c>
      <c r="AE284" s="102" t="s">
        <v>1435</v>
      </c>
      <c r="AF284" s="89">
        <v>679</v>
      </c>
      <c r="AG284" s="89">
        <v>558</v>
      </c>
      <c r="AH284" s="89">
        <v>14357</v>
      </c>
      <c r="AI284" s="89">
        <v>31437</v>
      </c>
      <c r="AJ284" s="89"/>
      <c r="AK284" s="89" t="s">
        <v>2199</v>
      </c>
      <c r="AL284" s="89" t="s">
        <v>2223</v>
      </c>
      <c r="AM284" s="95" t="str">
        <f>HYPERLINK("https://t.co/ywQSmXuxpN")</f>
        <v>https://t.co/ywQSmXuxpN</v>
      </c>
      <c r="AN284" s="89"/>
      <c r="AO284" s="92">
        <v>43697.42300925926</v>
      </c>
      <c r="AP284" s="95" t="str">
        <f>HYPERLINK("https://pbs.twimg.com/profile_banners/1163754769258819586/1630939857")</f>
        <v>https://pbs.twimg.com/profile_banners/1163754769258819586/1630939857</v>
      </c>
      <c r="AQ284" s="89" t="b">
        <v>1</v>
      </c>
      <c r="AR284" s="89" t="b">
        <v>0</v>
      </c>
      <c r="AS284" s="89" t="b">
        <v>0</v>
      </c>
      <c r="AT284" s="89"/>
      <c r="AU284" s="89">
        <v>2</v>
      </c>
      <c r="AV284" s="89"/>
      <c r="AW284" s="89" t="b">
        <v>0</v>
      </c>
      <c r="AX284" s="89" t="s">
        <v>2300</v>
      </c>
      <c r="AY284" s="95" t="str">
        <f>HYPERLINK("https://twitter.com/iamantero")</f>
        <v>https://twitter.com/iamantero</v>
      </c>
      <c r="AZ284" s="89" t="s">
        <v>66</v>
      </c>
      <c r="BA284" s="89" t="str">
        <f>REPLACE(INDEX(GroupVertices[Group],MATCH(Vertices[[#This Row],[Vertex]],GroupVertices[Vertex],0)),1,1,"")</f>
        <v>2</v>
      </c>
      <c r="BB284" s="49">
        <v>0</v>
      </c>
      <c r="BC284" s="50">
        <v>0</v>
      </c>
      <c r="BD284" s="49">
        <v>0</v>
      </c>
      <c r="BE284" s="50">
        <v>0</v>
      </c>
      <c r="BF284" s="49">
        <v>0</v>
      </c>
      <c r="BG284" s="50">
        <v>0</v>
      </c>
      <c r="BH284" s="49">
        <v>36</v>
      </c>
      <c r="BI284" s="50">
        <v>100</v>
      </c>
      <c r="BJ284" s="49">
        <v>36</v>
      </c>
      <c r="BK284" s="49" t="s">
        <v>5206</v>
      </c>
      <c r="BL284" s="49" t="s">
        <v>5206</v>
      </c>
      <c r="BM284" s="49" t="s">
        <v>708</v>
      </c>
      <c r="BN284" s="49" t="s">
        <v>708</v>
      </c>
      <c r="BO284" s="49"/>
      <c r="BP284" s="49"/>
      <c r="BQ284" s="123" t="s">
        <v>5648</v>
      </c>
      <c r="BR284" s="123" t="s">
        <v>5648</v>
      </c>
      <c r="BS284" s="123" t="s">
        <v>5797</v>
      </c>
      <c r="BT284" s="123" t="s">
        <v>5797</v>
      </c>
      <c r="BU284" s="2"/>
      <c r="BV284" s="3"/>
      <c r="BW284" s="3"/>
      <c r="BX284" s="3"/>
      <c r="BY284" s="3"/>
    </row>
    <row r="285" spans="1:77" ht="15">
      <c r="A285" s="65" t="s">
        <v>510</v>
      </c>
      <c r="B285" s="66"/>
      <c r="C285" s="66" t="s">
        <v>46</v>
      </c>
      <c r="D285" s="67">
        <v>10</v>
      </c>
      <c r="E285" s="69"/>
      <c r="F285" s="111" t="str">
        <f>HYPERLINK("https://pbs.twimg.com/profile_images/1427097014/Kuva_otettu_28.09.2010_klo_12.25_normal.jpg")</f>
        <v>https://pbs.twimg.com/profile_images/1427097014/Kuva_otettu_28.09.2010_klo_12.25_normal.jpg</v>
      </c>
      <c r="G285" s="66"/>
      <c r="H285" s="70" t="s">
        <v>510</v>
      </c>
      <c r="I285" s="71" t="s">
        <v>5821</v>
      </c>
      <c r="J285" s="71" t="s">
        <v>75</v>
      </c>
      <c r="K285" s="70" t="s">
        <v>2582</v>
      </c>
      <c r="L285" s="74">
        <v>477.0952380952381</v>
      </c>
      <c r="M285" s="75">
        <v>2517.694580078125</v>
      </c>
      <c r="N285" s="75">
        <v>1038.3406982421875</v>
      </c>
      <c r="O285" s="76"/>
      <c r="P285" s="77"/>
      <c r="Q285" s="77"/>
      <c r="R285" s="104"/>
      <c r="S285" s="49">
        <v>1</v>
      </c>
      <c r="T285" s="49">
        <v>0</v>
      </c>
      <c r="U285" s="50">
        <v>0</v>
      </c>
      <c r="V285" s="50">
        <v>0.000733</v>
      </c>
      <c r="W285" s="50">
        <v>0.000186</v>
      </c>
      <c r="X285" s="50">
        <v>0.375111</v>
      </c>
      <c r="Y285" s="50">
        <v>0</v>
      </c>
      <c r="Z285" s="50">
        <v>0</v>
      </c>
      <c r="AA285" s="72">
        <v>285</v>
      </c>
      <c r="AB285" s="72"/>
      <c r="AC285" s="73"/>
      <c r="AD285" s="89" t="s">
        <v>1756</v>
      </c>
      <c r="AE285" s="102" t="s">
        <v>1957</v>
      </c>
      <c r="AF285" s="89">
        <v>9048</v>
      </c>
      <c r="AG285" s="89">
        <v>20373</v>
      </c>
      <c r="AH285" s="89">
        <v>302331</v>
      </c>
      <c r="AI285" s="89">
        <v>428782</v>
      </c>
      <c r="AJ285" s="89"/>
      <c r="AK285" s="89" t="s">
        <v>2200</v>
      </c>
      <c r="AL285" s="89" t="s">
        <v>2298</v>
      </c>
      <c r="AM285" s="95" t="str">
        <f>HYPERLINK("https://t.co/aDTgFmV3hg")</f>
        <v>https://t.co/aDTgFmV3hg</v>
      </c>
      <c r="AN285" s="89"/>
      <c r="AO285" s="92">
        <v>40729.23689814815</v>
      </c>
      <c r="AP285" s="95" t="str">
        <f>HYPERLINK("https://pbs.twimg.com/profile_banners/329503437/1623882662")</f>
        <v>https://pbs.twimg.com/profile_banners/329503437/1623882662</v>
      </c>
      <c r="AQ285" s="89" t="b">
        <v>0</v>
      </c>
      <c r="AR285" s="89" t="b">
        <v>0</v>
      </c>
      <c r="AS285" s="89" t="b">
        <v>0</v>
      </c>
      <c r="AT285" s="89"/>
      <c r="AU285" s="89">
        <v>265</v>
      </c>
      <c r="AV285" s="95" t="str">
        <f>HYPERLINK("https://abs.twimg.com/images/themes/theme1/bg.png")</f>
        <v>https://abs.twimg.com/images/themes/theme1/bg.png</v>
      </c>
      <c r="AW285" s="89" t="b">
        <v>0</v>
      </c>
      <c r="AX285" s="89" t="s">
        <v>2300</v>
      </c>
      <c r="AY285" s="95" t="str">
        <f>HYPERLINK("https://twitter.com/soalmila")</f>
        <v>https://twitter.com/soalmila</v>
      </c>
      <c r="AZ285" s="89" t="s">
        <v>65</v>
      </c>
      <c r="BA285" s="89" t="str">
        <f>REPLACE(INDEX(GroupVertices[Group],MATCH(Vertices[[#This Row],[Vertex]],GroupVertices[Vertex],0)),1,1,"")</f>
        <v>2</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5" t="s">
        <v>511</v>
      </c>
      <c r="B286" s="66"/>
      <c r="C286" s="66" t="s">
        <v>46</v>
      </c>
      <c r="D286" s="67">
        <v>10</v>
      </c>
      <c r="E286" s="69"/>
      <c r="F286" s="111" t="str">
        <f>HYPERLINK("https://pbs.twimg.com/profile_images/1328680458444529665/BDPZHPmy_normal.jpg")</f>
        <v>https://pbs.twimg.com/profile_images/1328680458444529665/BDPZHPmy_normal.jpg</v>
      </c>
      <c r="G286" s="66"/>
      <c r="H286" s="70" t="s">
        <v>511</v>
      </c>
      <c r="I286" s="71" t="s">
        <v>5821</v>
      </c>
      <c r="J286" s="71" t="s">
        <v>75</v>
      </c>
      <c r="K286" s="70" t="s">
        <v>2583</v>
      </c>
      <c r="L286" s="74">
        <v>477.0952380952381</v>
      </c>
      <c r="M286" s="75">
        <v>2050.468017578125</v>
      </c>
      <c r="N286" s="75">
        <v>585.2643432617188</v>
      </c>
      <c r="O286" s="76"/>
      <c r="P286" s="77"/>
      <c r="Q286" s="77"/>
      <c r="R286" s="104"/>
      <c r="S286" s="49">
        <v>1</v>
      </c>
      <c r="T286" s="49">
        <v>0</v>
      </c>
      <c r="U286" s="50">
        <v>0</v>
      </c>
      <c r="V286" s="50">
        <v>0.000733</v>
      </c>
      <c r="W286" s="50">
        <v>0.000186</v>
      </c>
      <c r="X286" s="50">
        <v>0.375111</v>
      </c>
      <c r="Y286" s="50">
        <v>0</v>
      </c>
      <c r="Z286" s="50">
        <v>0</v>
      </c>
      <c r="AA286" s="72">
        <v>286</v>
      </c>
      <c r="AB286" s="72"/>
      <c r="AC286" s="73"/>
      <c r="AD286" s="89" t="s">
        <v>1757</v>
      </c>
      <c r="AE286" s="102" t="s">
        <v>1434</v>
      </c>
      <c r="AF286" s="89">
        <v>711</v>
      </c>
      <c r="AG286" s="89">
        <v>8413</v>
      </c>
      <c r="AH286" s="89">
        <v>3777</v>
      </c>
      <c r="AI286" s="89">
        <v>6354</v>
      </c>
      <c r="AJ286" s="89"/>
      <c r="AK286" s="89" t="s">
        <v>2201</v>
      </c>
      <c r="AL286" s="89"/>
      <c r="AM286" s="89"/>
      <c r="AN286" s="89"/>
      <c r="AO286" s="92">
        <v>41414.29537037037</v>
      </c>
      <c r="AP286" s="95" t="str">
        <f>HYPERLINK("https://pbs.twimg.com/profile_banners/1443070214/1620826352")</f>
        <v>https://pbs.twimg.com/profile_banners/1443070214/1620826352</v>
      </c>
      <c r="AQ286" s="89" t="b">
        <v>1</v>
      </c>
      <c r="AR286" s="89" t="b">
        <v>0</v>
      </c>
      <c r="AS286" s="89" t="b">
        <v>0</v>
      </c>
      <c r="AT286" s="89"/>
      <c r="AU286" s="89">
        <v>33</v>
      </c>
      <c r="AV286" s="95" t="str">
        <f>HYPERLINK("https://abs.twimg.com/images/themes/theme1/bg.png")</f>
        <v>https://abs.twimg.com/images/themes/theme1/bg.png</v>
      </c>
      <c r="AW286" s="89" t="b">
        <v>0</v>
      </c>
      <c r="AX286" s="89" t="s">
        <v>2300</v>
      </c>
      <c r="AY286" s="95" t="str">
        <f>HYPERLINK("https://twitter.com/juhaniknuuti")</f>
        <v>https://twitter.com/juhaniknuuti</v>
      </c>
      <c r="AZ286" s="89" t="s">
        <v>65</v>
      </c>
      <c r="BA286" s="89" t="str">
        <f>REPLACE(INDEX(GroupVertices[Group],MATCH(Vertices[[#This Row],[Vertex]],GroupVertices[Vertex],0)),1,1,"")</f>
        <v>2</v>
      </c>
      <c r="BB286" s="49"/>
      <c r="BC286" s="50"/>
      <c r="BD286" s="49"/>
      <c r="BE286" s="50"/>
      <c r="BF286" s="49"/>
      <c r="BG286" s="50"/>
      <c r="BH286" s="49"/>
      <c r="BI286" s="50"/>
      <c r="BJ286" s="49"/>
      <c r="BK286" s="49"/>
      <c r="BL286" s="49"/>
      <c r="BM286" s="49"/>
      <c r="BN286" s="49"/>
      <c r="BO286" s="49"/>
      <c r="BP286" s="49"/>
      <c r="BQ286" s="49"/>
      <c r="BR286" s="49"/>
      <c r="BS286" s="49"/>
      <c r="BT286" s="49"/>
      <c r="BU286" s="2"/>
      <c r="BV286" s="3"/>
      <c r="BW286" s="3"/>
      <c r="BX286" s="3"/>
      <c r="BY286" s="3"/>
    </row>
    <row r="287" spans="1:77" ht="15">
      <c r="A287" s="65" t="s">
        <v>512</v>
      </c>
      <c r="B287" s="66"/>
      <c r="C287" s="66" t="s">
        <v>46</v>
      </c>
      <c r="D287" s="67">
        <v>10</v>
      </c>
      <c r="E287" s="69"/>
      <c r="F287" s="111" t="str">
        <f>HYPERLINK("https://pbs.twimg.com/profile_images/378800000701842653/8b2f2b5675bafbba8cb3f106b122227a_normal.png")</f>
        <v>https://pbs.twimg.com/profile_images/378800000701842653/8b2f2b5675bafbba8cb3f106b122227a_normal.png</v>
      </c>
      <c r="G287" s="66"/>
      <c r="H287" s="70" t="s">
        <v>512</v>
      </c>
      <c r="I287" s="71" t="s">
        <v>5818</v>
      </c>
      <c r="J287" s="71" t="s">
        <v>75</v>
      </c>
      <c r="K287" s="70" t="s">
        <v>2584</v>
      </c>
      <c r="L287" s="74">
        <v>477.0952380952381</v>
      </c>
      <c r="M287" s="75">
        <v>942.1322021484375</v>
      </c>
      <c r="N287" s="75">
        <v>5547.77099609375</v>
      </c>
      <c r="O287" s="76"/>
      <c r="P287" s="77"/>
      <c r="Q287" s="77"/>
      <c r="R287" s="104"/>
      <c r="S287" s="49">
        <v>1</v>
      </c>
      <c r="T287" s="49">
        <v>0</v>
      </c>
      <c r="U287" s="50">
        <v>0</v>
      </c>
      <c r="V287" s="50">
        <v>0.000926</v>
      </c>
      <c r="W287" s="50">
        <v>0.003628</v>
      </c>
      <c r="X287" s="50">
        <v>0.395207</v>
      </c>
      <c r="Y287" s="50">
        <v>0</v>
      </c>
      <c r="Z287" s="50">
        <v>0</v>
      </c>
      <c r="AA287" s="72">
        <v>287</v>
      </c>
      <c r="AB287" s="72"/>
      <c r="AC287" s="73"/>
      <c r="AD287" s="89" t="s">
        <v>1758</v>
      </c>
      <c r="AE287" s="102" t="s">
        <v>1958</v>
      </c>
      <c r="AF287" s="89">
        <v>498</v>
      </c>
      <c r="AG287" s="89">
        <v>15906</v>
      </c>
      <c r="AH287" s="89">
        <v>5742</v>
      </c>
      <c r="AI287" s="89">
        <v>3001</v>
      </c>
      <c r="AJ287" s="89"/>
      <c r="AK287" s="89" t="s">
        <v>2202</v>
      </c>
      <c r="AL287" s="89" t="s">
        <v>2231</v>
      </c>
      <c r="AM287" s="95" t="str">
        <f>HYPERLINK("https://t.co/EwzzmexIGF")</f>
        <v>https://t.co/EwzzmexIGF</v>
      </c>
      <c r="AN287" s="89"/>
      <c r="AO287" s="92">
        <v>41556.25699074074</v>
      </c>
      <c r="AP287" s="95" t="str">
        <f>HYPERLINK("https://pbs.twimg.com/profile_banners/1948704752/1589441185")</f>
        <v>https://pbs.twimg.com/profile_banners/1948704752/1589441185</v>
      </c>
      <c r="AQ287" s="89" t="b">
        <v>0</v>
      </c>
      <c r="AR287" s="89" t="b">
        <v>0</v>
      </c>
      <c r="AS287" s="89" t="b">
        <v>0</v>
      </c>
      <c r="AT287" s="89"/>
      <c r="AU287" s="89">
        <v>76</v>
      </c>
      <c r="AV287" s="95" t="str">
        <f>HYPERLINK("https://abs.twimg.com/images/themes/theme1/bg.png")</f>
        <v>https://abs.twimg.com/images/themes/theme1/bg.png</v>
      </c>
      <c r="AW287" s="89" t="b">
        <v>1</v>
      </c>
      <c r="AX287" s="89" t="s">
        <v>2300</v>
      </c>
      <c r="AY287" s="95" t="str">
        <f>HYPERLINK("https://twitter.com/mtvsuomi")</f>
        <v>https://twitter.com/mtvsuomi</v>
      </c>
      <c r="AZ287" s="89" t="s">
        <v>65</v>
      </c>
      <c r="BA287" s="89" t="str">
        <f>REPLACE(INDEX(GroupVertices[Group],MATCH(Vertices[[#This Row],[Vertex]],GroupVertices[Vertex],0)),1,1,"")</f>
        <v>1</v>
      </c>
      <c r="BB287" s="49"/>
      <c r="BC287" s="50"/>
      <c r="BD287" s="49"/>
      <c r="BE287" s="50"/>
      <c r="BF287" s="49"/>
      <c r="BG287" s="50"/>
      <c r="BH287" s="49"/>
      <c r="BI287" s="50"/>
      <c r="BJ287" s="49"/>
      <c r="BK287" s="49"/>
      <c r="BL287" s="49"/>
      <c r="BM287" s="49"/>
      <c r="BN287" s="49"/>
      <c r="BO287" s="49"/>
      <c r="BP287" s="49"/>
      <c r="BQ287" s="49"/>
      <c r="BR287" s="49"/>
      <c r="BS287" s="49"/>
      <c r="BT287" s="49"/>
      <c r="BU287" s="2"/>
      <c r="BV287" s="3"/>
      <c r="BW287" s="3"/>
      <c r="BX287" s="3"/>
      <c r="BY287" s="3"/>
    </row>
    <row r="288" spans="1:77" ht="15">
      <c r="A288" s="65" t="s">
        <v>513</v>
      </c>
      <c r="B288" s="66"/>
      <c r="C288" s="66" t="s">
        <v>46</v>
      </c>
      <c r="D288" s="67">
        <v>10</v>
      </c>
      <c r="E288" s="69"/>
      <c r="F288" s="111" t="str">
        <f>HYPERLINK("https://pbs.twimg.com/profile_images/1067673735359066113/9BOI4qGo_normal.jpg")</f>
        <v>https://pbs.twimg.com/profile_images/1067673735359066113/9BOI4qGo_normal.jpg</v>
      </c>
      <c r="G288" s="66"/>
      <c r="H288" s="70" t="s">
        <v>513</v>
      </c>
      <c r="I288" s="71" t="s">
        <v>5818</v>
      </c>
      <c r="J288" s="71" t="s">
        <v>75</v>
      </c>
      <c r="K288" s="70" t="s">
        <v>2585</v>
      </c>
      <c r="L288" s="74">
        <v>477.0952380952381</v>
      </c>
      <c r="M288" s="75">
        <v>829.1074829101562</v>
      </c>
      <c r="N288" s="75">
        <v>5330.39501953125</v>
      </c>
      <c r="O288" s="76"/>
      <c r="P288" s="77"/>
      <c r="Q288" s="77"/>
      <c r="R288" s="104"/>
      <c r="S288" s="49">
        <v>1</v>
      </c>
      <c r="T288" s="49">
        <v>0</v>
      </c>
      <c r="U288" s="50">
        <v>0</v>
      </c>
      <c r="V288" s="50">
        <v>0.000926</v>
      </c>
      <c r="W288" s="50">
        <v>0.003628</v>
      </c>
      <c r="X288" s="50">
        <v>0.395207</v>
      </c>
      <c r="Y288" s="50">
        <v>0</v>
      </c>
      <c r="Z288" s="50">
        <v>0</v>
      </c>
      <c r="AA288" s="72">
        <v>288</v>
      </c>
      <c r="AB288" s="72"/>
      <c r="AC288" s="73"/>
      <c r="AD288" s="89" t="s">
        <v>1759</v>
      </c>
      <c r="AE288" s="102" t="s">
        <v>1436</v>
      </c>
      <c r="AF288" s="89">
        <v>196</v>
      </c>
      <c r="AG288" s="89">
        <v>1027</v>
      </c>
      <c r="AH288" s="89">
        <v>308</v>
      </c>
      <c r="AI288" s="89">
        <v>247</v>
      </c>
      <c r="AJ288" s="89"/>
      <c r="AK288" s="89" t="s">
        <v>2203</v>
      </c>
      <c r="AL288" s="89"/>
      <c r="AM288" s="89"/>
      <c r="AN288" s="89"/>
      <c r="AO288" s="92">
        <v>41723.832395833335</v>
      </c>
      <c r="AP288" s="89"/>
      <c r="AQ288" s="89" t="b">
        <v>1</v>
      </c>
      <c r="AR288" s="89" t="b">
        <v>0</v>
      </c>
      <c r="AS288" s="89" t="b">
        <v>0</v>
      </c>
      <c r="AT288" s="89"/>
      <c r="AU288" s="89">
        <v>2</v>
      </c>
      <c r="AV288" s="95" t="str">
        <f>HYPERLINK("https://abs.twimg.com/images/themes/theme1/bg.png")</f>
        <v>https://abs.twimg.com/images/themes/theme1/bg.png</v>
      </c>
      <c r="AW288" s="89" t="b">
        <v>0</v>
      </c>
      <c r="AX288" s="89" t="s">
        <v>2300</v>
      </c>
      <c r="AY288" s="95" t="str">
        <f>HYPERLINK("https://twitter.com/timo_lappi")</f>
        <v>https://twitter.com/timo_lappi</v>
      </c>
      <c r="AZ288" s="89" t="s">
        <v>65</v>
      </c>
      <c r="BA288" s="89" t="str">
        <f>REPLACE(INDEX(GroupVertices[Group],MATCH(Vertices[[#This Row],[Vertex]],GroupVertices[Vertex],0)),1,1,"")</f>
        <v>1</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5" t="s">
        <v>514</v>
      </c>
      <c r="B289" s="66"/>
      <c r="C289" s="66" t="s">
        <v>46</v>
      </c>
      <c r="D289" s="67">
        <v>10</v>
      </c>
      <c r="E289" s="69"/>
      <c r="F289" s="111" t="str">
        <f>HYPERLINK("https://pbs.twimg.com/profile_images/1333411738096709641/DcL7p6WJ_normal.jpg")</f>
        <v>https://pbs.twimg.com/profile_images/1333411738096709641/DcL7p6WJ_normal.jpg</v>
      </c>
      <c r="G289" s="66"/>
      <c r="H289" s="70" t="s">
        <v>514</v>
      </c>
      <c r="I289" s="71" t="s">
        <v>5818</v>
      </c>
      <c r="J289" s="71" t="s">
        <v>75</v>
      </c>
      <c r="K289" s="70" t="s">
        <v>2586</v>
      </c>
      <c r="L289" s="74">
        <v>477.0952380952381</v>
      </c>
      <c r="M289" s="75">
        <v>1157.6956787109375</v>
      </c>
      <c r="N289" s="75">
        <v>4795.353515625</v>
      </c>
      <c r="O289" s="76"/>
      <c r="P289" s="77"/>
      <c r="Q289" s="77"/>
      <c r="R289" s="104"/>
      <c r="S289" s="49">
        <v>1</v>
      </c>
      <c r="T289" s="49">
        <v>0</v>
      </c>
      <c r="U289" s="50">
        <v>0</v>
      </c>
      <c r="V289" s="50">
        <v>0.000926</v>
      </c>
      <c r="W289" s="50">
        <v>0.003628</v>
      </c>
      <c r="X289" s="50">
        <v>0.395207</v>
      </c>
      <c r="Y289" s="50">
        <v>0</v>
      </c>
      <c r="Z289" s="50">
        <v>0</v>
      </c>
      <c r="AA289" s="72">
        <v>289</v>
      </c>
      <c r="AB289" s="72"/>
      <c r="AC289" s="73"/>
      <c r="AD289" s="89" t="s">
        <v>1760</v>
      </c>
      <c r="AE289" s="102" t="s">
        <v>1959</v>
      </c>
      <c r="AF289" s="89">
        <v>900</v>
      </c>
      <c r="AG289" s="89">
        <v>117</v>
      </c>
      <c r="AH289" s="89">
        <v>1730</v>
      </c>
      <c r="AI289" s="89">
        <v>7998</v>
      </c>
      <c r="AJ289" s="89"/>
      <c r="AK289" s="89"/>
      <c r="AL289" s="89" t="s">
        <v>2218</v>
      </c>
      <c r="AM289" s="89"/>
      <c r="AN289" s="89"/>
      <c r="AO289" s="92">
        <v>40463.399247685185</v>
      </c>
      <c r="AP289" s="89"/>
      <c r="AQ289" s="89" t="b">
        <v>1</v>
      </c>
      <c r="AR289" s="89" t="b">
        <v>0</v>
      </c>
      <c r="AS289" s="89" t="b">
        <v>0</v>
      </c>
      <c r="AT289" s="89"/>
      <c r="AU289" s="89">
        <v>0</v>
      </c>
      <c r="AV289" s="95" t="str">
        <f>HYPERLINK("https://abs.twimg.com/images/themes/theme1/bg.png")</f>
        <v>https://abs.twimg.com/images/themes/theme1/bg.png</v>
      </c>
      <c r="AW289" s="89" t="b">
        <v>0</v>
      </c>
      <c r="AX289" s="89" t="s">
        <v>2300</v>
      </c>
      <c r="AY289" s="95" t="str">
        <f>HYPERLINK("https://twitter.com/minnaeck")</f>
        <v>https://twitter.com/minnaeck</v>
      </c>
      <c r="AZ289" s="89" t="s">
        <v>65</v>
      </c>
      <c r="BA289" s="89" t="str">
        <f>REPLACE(INDEX(GroupVertices[Group],MATCH(Vertices[[#This Row],[Vertex]],GroupVertices[Vertex],0)),1,1,"")</f>
        <v>1</v>
      </c>
      <c r="BB289" s="49"/>
      <c r="BC289" s="50"/>
      <c r="BD289" s="49"/>
      <c r="BE289" s="50"/>
      <c r="BF289" s="49"/>
      <c r="BG289" s="50"/>
      <c r="BH289" s="49"/>
      <c r="BI289" s="50"/>
      <c r="BJ289" s="49"/>
      <c r="BK289" s="49"/>
      <c r="BL289" s="49"/>
      <c r="BM289" s="49"/>
      <c r="BN289" s="49"/>
      <c r="BO289" s="49"/>
      <c r="BP289" s="49"/>
      <c r="BQ289" s="49"/>
      <c r="BR289" s="49"/>
      <c r="BS289" s="49"/>
      <c r="BT289" s="49"/>
      <c r="BU289" s="2"/>
      <c r="BV289" s="3"/>
      <c r="BW289" s="3"/>
      <c r="BX289" s="3"/>
      <c r="BY289" s="3"/>
    </row>
    <row r="290" spans="1:77" ht="15">
      <c r="A290" s="65" t="s">
        <v>515</v>
      </c>
      <c r="B290" s="66"/>
      <c r="C290" s="66" t="s">
        <v>46</v>
      </c>
      <c r="D290" s="67">
        <v>10</v>
      </c>
      <c r="E290" s="69"/>
      <c r="F290" s="111" t="str">
        <f>HYPERLINK("https://pbs.twimg.com/profile_images/1458479875812171778/uDrGNK8H_normal.jpg")</f>
        <v>https://pbs.twimg.com/profile_images/1458479875812171778/uDrGNK8H_normal.jpg</v>
      </c>
      <c r="G290" s="66"/>
      <c r="H290" s="70" t="s">
        <v>515</v>
      </c>
      <c r="I290" s="71" t="s">
        <v>5818</v>
      </c>
      <c r="J290" s="71" t="s">
        <v>75</v>
      </c>
      <c r="K290" s="70" t="s">
        <v>2587</v>
      </c>
      <c r="L290" s="74">
        <v>477.0952380952381</v>
      </c>
      <c r="M290" s="75">
        <v>1425.0631103515625</v>
      </c>
      <c r="N290" s="75">
        <v>5159.82275390625</v>
      </c>
      <c r="O290" s="76"/>
      <c r="P290" s="77"/>
      <c r="Q290" s="77"/>
      <c r="R290" s="104"/>
      <c r="S290" s="49">
        <v>1</v>
      </c>
      <c r="T290" s="49">
        <v>0</v>
      </c>
      <c r="U290" s="50">
        <v>0</v>
      </c>
      <c r="V290" s="50">
        <v>0.000926</v>
      </c>
      <c r="W290" s="50">
        <v>0.003628</v>
      </c>
      <c r="X290" s="50">
        <v>0.395207</v>
      </c>
      <c r="Y290" s="50">
        <v>0</v>
      </c>
      <c r="Z290" s="50">
        <v>0</v>
      </c>
      <c r="AA290" s="72">
        <v>290</v>
      </c>
      <c r="AB290" s="72"/>
      <c r="AC290" s="73"/>
      <c r="AD290" s="89" t="s">
        <v>1761</v>
      </c>
      <c r="AE290" s="102" t="s">
        <v>1960</v>
      </c>
      <c r="AF290" s="89">
        <v>430</v>
      </c>
      <c r="AG290" s="89">
        <v>92</v>
      </c>
      <c r="AH290" s="89">
        <v>1085</v>
      </c>
      <c r="AI290" s="89">
        <v>1186</v>
      </c>
      <c r="AJ290" s="89"/>
      <c r="AK290" s="89" t="s">
        <v>2204</v>
      </c>
      <c r="AL290" s="89"/>
      <c r="AM290" s="89"/>
      <c r="AN290" s="89"/>
      <c r="AO290" s="92">
        <v>44425.571377314816</v>
      </c>
      <c r="AP290" s="95" t="str">
        <f>HYPERLINK("https://pbs.twimg.com/profile_banners/1427626919286218754/1636562913")</f>
        <v>https://pbs.twimg.com/profile_banners/1427626919286218754/1636562913</v>
      </c>
      <c r="AQ290" s="89" t="b">
        <v>1</v>
      </c>
      <c r="AR290" s="89" t="b">
        <v>0</v>
      </c>
      <c r="AS290" s="89" t="b">
        <v>0</v>
      </c>
      <c r="AT290" s="89"/>
      <c r="AU290" s="89">
        <v>1</v>
      </c>
      <c r="AV290" s="89"/>
      <c r="AW290" s="89" t="b">
        <v>0</v>
      </c>
      <c r="AX290" s="89" t="s">
        <v>2300</v>
      </c>
      <c r="AY290" s="95" t="str">
        <f>HYPERLINK("https://twitter.com/a28748626")</f>
        <v>https://twitter.com/a28748626</v>
      </c>
      <c r="AZ290" s="89" t="s">
        <v>65</v>
      </c>
      <c r="BA290" s="89" t="str">
        <f>REPLACE(INDEX(GroupVertices[Group],MATCH(Vertices[[#This Row],[Vertex]],GroupVertices[Vertex],0)),1,1,"")</f>
        <v>1</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row r="291" spans="1:77" ht="15">
      <c r="A291" s="65" t="s">
        <v>516</v>
      </c>
      <c r="B291" s="66"/>
      <c r="C291" s="66" t="s">
        <v>46</v>
      </c>
      <c r="D291" s="67">
        <v>10</v>
      </c>
      <c r="E291" s="69"/>
      <c r="F291" s="111" t="str">
        <f>HYPERLINK("https://pbs.twimg.com/profile_images/1353042380304343042/A97Zvxnu_normal.jpg")</f>
        <v>https://pbs.twimg.com/profile_images/1353042380304343042/A97Zvxnu_normal.jpg</v>
      </c>
      <c r="G291" s="66"/>
      <c r="H291" s="70" t="s">
        <v>516</v>
      </c>
      <c r="I291" s="71" t="s">
        <v>5818</v>
      </c>
      <c r="J291" s="71" t="s">
        <v>75</v>
      </c>
      <c r="K291" s="70" t="s">
        <v>2588</v>
      </c>
      <c r="L291" s="74">
        <v>477.0952380952381</v>
      </c>
      <c r="M291" s="75">
        <v>1172.7652587890625</v>
      </c>
      <c r="N291" s="75">
        <v>5167.28515625</v>
      </c>
      <c r="O291" s="76"/>
      <c r="P291" s="77"/>
      <c r="Q291" s="77"/>
      <c r="R291" s="104"/>
      <c r="S291" s="49">
        <v>1</v>
      </c>
      <c r="T291" s="49">
        <v>0</v>
      </c>
      <c r="U291" s="50">
        <v>0</v>
      </c>
      <c r="V291" s="50">
        <v>0.000926</v>
      </c>
      <c r="W291" s="50">
        <v>0.003628</v>
      </c>
      <c r="X291" s="50">
        <v>0.395207</v>
      </c>
      <c r="Y291" s="50">
        <v>0</v>
      </c>
      <c r="Z291" s="50">
        <v>0</v>
      </c>
      <c r="AA291" s="72">
        <v>291</v>
      </c>
      <c r="AB291" s="72"/>
      <c r="AC291" s="73"/>
      <c r="AD291" s="89" t="s">
        <v>1762</v>
      </c>
      <c r="AE291" s="102" t="s">
        <v>1437</v>
      </c>
      <c r="AF291" s="89">
        <v>2119</v>
      </c>
      <c r="AG291" s="89">
        <v>967</v>
      </c>
      <c r="AH291" s="89">
        <v>16506</v>
      </c>
      <c r="AI291" s="89">
        <v>35160</v>
      </c>
      <c r="AJ291" s="89"/>
      <c r="AK291" s="89" t="s">
        <v>2205</v>
      </c>
      <c r="AL291" s="89" t="s">
        <v>2299</v>
      </c>
      <c r="AM291" s="89"/>
      <c r="AN291" s="89"/>
      <c r="AO291" s="92">
        <v>42335.679236111115</v>
      </c>
      <c r="AP291" s="95" t="str">
        <f>HYPERLINK("https://pbs.twimg.com/profile_banners/4297831041/1539772888")</f>
        <v>https://pbs.twimg.com/profile_banners/4297831041/1539772888</v>
      </c>
      <c r="AQ291" s="89" t="b">
        <v>1</v>
      </c>
      <c r="AR291" s="89" t="b">
        <v>0</v>
      </c>
      <c r="AS291" s="89" t="b">
        <v>0</v>
      </c>
      <c r="AT291" s="89"/>
      <c r="AU291" s="89">
        <v>4</v>
      </c>
      <c r="AV291" s="95" t="str">
        <f>HYPERLINK("https://abs.twimg.com/images/themes/theme1/bg.png")</f>
        <v>https://abs.twimg.com/images/themes/theme1/bg.png</v>
      </c>
      <c r="AW291" s="89" t="b">
        <v>0</v>
      </c>
      <c r="AX291" s="89" t="s">
        <v>2300</v>
      </c>
      <c r="AY291" s="95" t="str">
        <f>HYPERLINK("https://twitter.com/xxxeerh")</f>
        <v>https://twitter.com/xxxeerh</v>
      </c>
      <c r="AZ291" s="89" t="s">
        <v>65</v>
      </c>
      <c r="BA291" s="89" t="str">
        <f>REPLACE(INDEX(GroupVertices[Group],MATCH(Vertices[[#This Row],[Vertex]],GroupVertices[Vertex],0)),1,1,"")</f>
        <v>1</v>
      </c>
      <c r="BB291" s="49"/>
      <c r="BC291" s="50"/>
      <c r="BD291" s="49"/>
      <c r="BE291" s="50"/>
      <c r="BF291" s="49"/>
      <c r="BG291" s="50"/>
      <c r="BH291" s="49"/>
      <c r="BI291" s="50"/>
      <c r="BJ291" s="49"/>
      <c r="BK291" s="49"/>
      <c r="BL291" s="49"/>
      <c r="BM291" s="49"/>
      <c r="BN291" s="49"/>
      <c r="BO291" s="49"/>
      <c r="BP291" s="49"/>
      <c r="BQ291" s="49"/>
      <c r="BR291" s="49"/>
      <c r="BS291" s="49"/>
      <c r="BT291" s="49"/>
      <c r="BU291" s="2"/>
      <c r="BV291" s="3"/>
      <c r="BW291" s="3"/>
      <c r="BX291" s="3"/>
      <c r="BY291" s="3"/>
    </row>
    <row r="292" spans="1:77" ht="15">
      <c r="A292" s="65" t="s">
        <v>375</v>
      </c>
      <c r="B292" s="66"/>
      <c r="C292" s="66" t="s">
        <v>46</v>
      </c>
      <c r="D292" s="67">
        <v>10</v>
      </c>
      <c r="E292" s="69"/>
      <c r="F292" s="111" t="str">
        <f>HYPERLINK("https://pbs.twimg.com/profile_images/1292208545149136905/qWlUdwFE_normal.jpg")</f>
        <v>https://pbs.twimg.com/profile_images/1292208545149136905/qWlUdwFE_normal.jpg</v>
      </c>
      <c r="G292" s="66"/>
      <c r="H292" s="70" t="s">
        <v>375</v>
      </c>
      <c r="I292" s="71" t="s">
        <v>5825</v>
      </c>
      <c r="J292" s="71" t="s">
        <v>73</v>
      </c>
      <c r="K292" s="70" t="s">
        <v>2589</v>
      </c>
      <c r="L292" s="74">
        <v>477.0952380952381</v>
      </c>
      <c r="M292" s="75">
        <v>7902.39111328125</v>
      </c>
      <c r="N292" s="75">
        <v>8502.4267578125</v>
      </c>
      <c r="O292" s="76"/>
      <c r="P292" s="77"/>
      <c r="Q292" s="77"/>
      <c r="R292" s="104"/>
      <c r="S292" s="49">
        <v>1</v>
      </c>
      <c r="T292" s="49">
        <v>1</v>
      </c>
      <c r="U292" s="50">
        <v>2543.505195</v>
      </c>
      <c r="V292" s="50">
        <v>0.000938</v>
      </c>
      <c r="W292" s="50">
        <v>0.003683</v>
      </c>
      <c r="X292" s="50">
        <v>0.765938</v>
      </c>
      <c r="Y292" s="50">
        <v>0</v>
      </c>
      <c r="Z292" s="50">
        <v>0</v>
      </c>
      <c r="AA292" s="72">
        <v>292</v>
      </c>
      <c r="AB292" s="72"/>
      <c r="AC292" s="73"/>
      <c r="AD292" s="89" t="s">
        <v>1763</v>
      </c>
      <c r="AE292" s="102" t="s">
        <v>1961</v>
      </c>
      <c r="AF292" s="89">
        <v>685</v>
      </c>
      <c r="AG292" s="89">
        <v>356</v>
      </c>
      <c r="AH292" s="89">
        <v>5206</v>
      </c>
      <c r="AI292" s="89">
        <v>8954</v>
      </c>
      <c r="AJ292" s="89"/>
      <c r="AK292" s="89" t="s">
        <v>2206</v>
      </c>
      <c r="AL292" s="89"/>
      <c r="AM292" s="89"/>
      <c r="AN292" s="89"/>
      <c r="AO292" s="92">
        <v>44051.88753472222</v>
      </c>
      <c r="AP292" s="95" t="str">
        <f>HYPERLINK("https://pbs.twimg.com/profile_banners/1292208426819506176/1615219269")</f>
        <v>https://pbs.twimg.com/profile_banners/1292208426819506176/1615219269</v>
      </c>
      <c r="AQ292" s="89" t="b">
        <v>1</v>
      </c>
      <c r="AR292" s="89" t="b">
        <v>0</v>
      </c>
      <c r="AS292" s="89" t="b">
        <v>0</v>
      </c>
      <c r="AT292" s="89"/>
      <c r="AU292" s="89">
        <v>1</v>
      </c>
      <c r="AV292" s="89"/>
      <c r="AW292" s="89" t="b">
        <v>0</v>
      </c>
      <c r="AX292" s="89" t="s">
        <v>2300</v>
      </c>
      <c r="AY292" s="95" t="str">
        <f>HYPERLINK("https://twitter.com/turnukkaparta")</f>
        <v>https://twitter.com/turnukkaparta</v>
      </c>
      <c r="AZ292" s="89" t="s">
        <v>66</v>
      </c>
      <c r="BA292" s="89" t="str">
        <f>REPLACE(INDEX(GroupVertices[Group],MATCH(Vertices[[#This Row],[Vertex]],GroupVertices[Vertex],0)),1,1,"")</f>
        <v>6</v>
      </c>
      <c r="BB292" s="49">
        <v>0</v>
      </c>
      <c r="BC292" s="50">
        <v>0</v>
      </c>
      <c r="BD292" s="49">
        <v>0</v>
      </c>
      <c r="BE292" s="50">
        <v>0</v>
      </c>
      <c r="BF292" s="49">
        <v>0</v>
      </c>
      <c r="BG292" s="50">
        <v>0</v>
      </c>
      <c r="BH292" s="49">
        <v>6</v>
      </c>
      <c r="BI292" s="50">
        <v>100</v>
      </c>
      <c r="BJ292" s="49">
        <v>6</v>
      </c>
      <c r="BK292" s="49" t="s">
        <v>5188</v>
      </c>
      <c r="BL292" s="49" t="s">
        <v>5188</v>
      </c>
      <c r="BM292" s="49" t="s">
        <v>693</v>
      </c>
      <c r="BN292" s="49" t="s">
        <v>693</v>
      </c>
      <c r="BO292" s="49"/>
      <c r="BP292" s="49"/>
      <c r="BQ292" s="123" t="s">
        <v>5635</v>
      </c>
      <c r="BR292" s="123" t="s">
        <v>5635</v>
      </c>
      <c r="BS292" s="123" t="s">
        <v>5785</v>
      </c>
      <c r="BT292" s="123" t="s">
        <v>5785</v>
      </c>
      <c r="BU292" s="2"/>
      <c r="BV292" s="3"/>
      <c r="BW292" s="3"/>
      <c r="BX292" s="3"/>
      <c r="BY292" s="3"/>
    </row>
    <row r="293" spans="1:77" ht="15">
      <c r="A293" s="65" t="s">
        <v>376</v>
      </c>
      <c r="B293" s="66"/>
      <c r="C293" s="66" t="s">
        <v>46</v>
      </c>
      <c r="D293" s="67"/>
      <c r="E293" s="69"/>
      <c r="F293" s="111" t="str">
        <f>HYPERLINK("https://pbs.twimg.com/profile_images/1191798760948609024/FU2km98k_normal.jpg")</f>
        <v>https://pbs.twimg.com/profile_images/1191798760948609024/FU2km98k_normal.jpg</v>
      </c>
      <c r="G293" s="66"/>
      <c r="H293" s="70" t="s">
        <v>376</v>
      </c>
      <c r="I293" s="71" t="s">
        <v>5825</v>
      </c>
      <c r="J293" s="71" t="s">
        <v>73</v>
      </c>
      <c r="K293" s="70" t="s">
        <v>2590</v>
      </c>
      <c r="L293" s="74">
        <v>1</v>
      </c>
      <c r="M293" s="75">
        <v>8071.5224609375</v>
      </c>
      <c r="N293" s="75">
        <v>7918.591796875</v>
      </c>
      <c r="O293" s="76"/>
      <c r="P293" s="77"/>
      <c r="Q293" s="77"/>
      <c r="R293" s="104"/>
      <c r="S293" s="49">
        <v>0</v>
      </c>
      <c r="T293" s="49">
        <v>6</v>
      </c>
      <c r="U293" s="50">
        <v>2215.338528</v>
      </c>
      <c r="V293" s="50">
        <v>0.000774</v>
      </c>
      <c r="W293" s="50">
        <v>0.000471</v>
      </c>
      <c r="X293" s="50">
        <v>2.616925</v>
      </c>
      <c r="Y293" s="50">
        <v>0</v>
      </c>
      <c r="Z293" s="50">
        <v>0</v>
      </c>
      <c r="AA293" s="72">
        <v>293</v>
      </c>
      <c r="AB293" s="72"/>
      <c r="AC293" s="73"/>
      <c r="AD293" s="89" t="s">
        <v>1764</v>
      </c>
      <c r="AE293" s="102" t="s">
        <v>1439</v>
      </c>
      <c r="AF293" s="89">
        <v>168</v>
      </c>
      <c r="AG293" s="89">
        <v>602</v>
      </c>
      <c r="AH293" s="89">
        <v>21329</v>
      </c>
      <c r="AI293" s="89">
        <v>39745</v>
      </c>
      <c r="AJ293" s="89"/>
      <c r="AK293" s="89" t="s">
        <v>2207</v>
      </c>
      <c r="AL293" s="89"/>
      <c r="AM293" s="89"/>
      <c r="AN293" s="89"/>
      <c r="AO293" s="92">
        <v>42567.72435185185</v>
      </c>
      <c r="AP293" s="95" t="str">
        <f>HYPERLINK("https://pbs.twimg.com/profile_banners/754365747107917824/1605137045")</f>
        <v>https://pbs.twimg.com/profile_banners/754365747107917824/1605137045</v>
      </c>
      <c r="AQ293" s="89" t="b">
        <v>1</v>
      </c>
      <c r="AR293" s="89" t="b">
        <v>0</v>
      </c>
      <c r="AS293" s="89" t="b">
        <v>0</v>
      </c>
      <c r="AT293" s="89"/>
      <c r="AU293" s="89">
        <v>0</v>
      </c>
      <c r="AV293" s="89"/>
      <c r="AW293" s="89" t="b">
        <v>0</v>
      </c>
      <c r="AX293" s="89" t="s">
        <v>2300</v>
      </c>
      <c r="AY293" s="95" t="str">
        <f>HYPERLINK("https://twitter.com/pesakauha")</f>
        <v>https://twitter.com/pesakauha</v>
      </c>
      <c r="AZ293" s="89" t="s">
        <v>66</v>
      </c>
      <c r="BA293" s="89" t="str">
        <f>REPLACE(INDEX(GroupVertices[Group],MATCH(Vertices[[#This Row],[Vertex]],GroupVertices[Vertex],0)),1,1,"")</f>
        <v>6</v>
      </c>
      <c r="BB293" s="49">
        <v>0</v>
      </c>
      <c r="BC293" s="50">
        <v>0</v>
      </c>
      <c r="BD293" s="49">
        <v>0</v>
      </c>
      <c r="BE293" s="50">
        <v>0</v>
      </c>
      <c r="BF293" s="49">
        <v>0</v>
      </c>
      <c r="BG293" s="50">
        <v>0</v>
      </c>
      <c r="BH293" s="49">
        <v>62</v>
      </c>
      <c r="BI293" s="50">
        <v>100</v>
      </c>
      <c r="BJ293" s="49">
        <v>62</v>
      </c>
      <c r="BK293" s="49"/>
      <c r="BL293" s="49"/>
      <c r="BM293" s="49"/>
      <c r="BN293" s="49"/>
      <c r="BO293" s="49"/>
      <c r="BP293" s="49"/>
      <c r="BQ293" s="123" t="s">
        <v>5649</v>
      </c>
      <c r="BR293" s="123" t="s">
        <v>5686</v>
      </c>
      <c r="BS293" s="123" t="s">
        <v>5798</v>
      </c>
      <c r="BT293" s="123" t="s">
        <v>5798</v>
      </c>
      <c r="BU293" s="2"/>
      <c r="BV293" s="3"/>
      <c r="BW293" s="3"/>
      <c r="BX293" s="3"/>
      <c r="BY293" s="3"/>
    </row>
    <row r="294" spans="1:77" ht="15">
      <c r="A294" s="65" t="s">
        <v>517</v>
      </c>
      <c r="B294" s="66"/>
      <c r="C294" s="66" t="s">
        <v>46</v>
      </c>
      <c r="D294" s="67">
        <v>10</v>
      </c>
      <c r="E294" s="69"/>
      <c r="F294" s="111" t="str">
        <f>HYPERLINK("https://pbs.twimg.com/profile_images/1229901121092825089/QEFSMTWz_normal.jpg")</f>
        <v>https://pbs.twimg.com/profile_images/1229901121092825089/QEFSMTWz_normal.jpg</v>
      </c>
      <c r="G294" s="66"/>
      <c r="H294" s="70" t="s">
        <v>517</v>
      </c>
      <c r="I294" s="71" t="s">
        <v>5825</v>
      </c>
      <c r="J294" s="71" t="s">
        <v>75</v>
      </c>
      <c r="K294" s="70" t="s">
        <v>2591</v>
      </c>
      <c r="L294" s="74">
        <v>477.0952380952381</v>
      </c>
      <c r="M294" s="75">
        <v>7858.25537109375</v>
      </c>
      <c r="N294" s="75">
        <v>7995.04296875</v>
      </c>
      <c r="O294" s="76"/>
      <c r="P294" s="77"/>
      <c r="Q294" s="77"/>
      <c r="R294" s="104"/>
      <c r="S294" s="49">
        <v>1</v>
      </c>
      <c r="T294" s="49">
        <v>0</v>
      </c>
      <c r="U294" s="50">
        <v>0</v>
      </c>
      <c r="V294" s="50">
        <v>0.000651</v>
      </c>
      <c r="W294" s="50">
        <v>5.5E-05</v>
      </c>
      <c r="X294" s="50">
        <v>0.520731</v>
      </c>
      <c r="Y294" s="50">
        <v>0</v>
      </c>
      <c r="Z294" s="50">
        <v>0</v>
      </c>
      <c r="AA294" s="72">
        <v>294</v>
      </c>
      <c r="AB294" s="72"/>
      <c r="AC294" s="73"/>
      <c r="AD294" s="89" t="s">
        <v>1765</v>
      </c>
      <c r="AE294" s="102" t="s">
        <v>1962</v>
      </c>
      <c r="AF294" s="89">
        <v>149</v>
      </c>
      <c r="AG294" s="89">
        <v>712</v>
      </c>
      <c r="AH294" s="89">
        <v>5703</v>
      </c>
      <c r="AI294" s="89">
        <v>18938</v>
      </c>
      <c r="AJ294" s="89"/>
      <c r="AK294" s="89"/>
      <c r="AL294" s="89"/>
      <c r="AM294" s="89"/>
      <c r="AN294" s="89"/>
      <c r="AO294" s="92">
        <v>43477.78380787037</v>
      </c>
      <c r="AP294" s="89"/>
      <c r="AQ294" s="89" t="b">
        <v>1</v>
      </c>
      <c r="AR294" s="89" t="b">
        <v>0</v>
      </c>
      <c r="AS294" s="89" t="b">
        <v>0</v>
      </c>
      <c r="AT294" s="89"/>
      <c r="AU294" s="89">
        <v>2</v>
      </c>
      <c r="AV294" s="89"/>
      <c r="AW294" s="89" t="b">
        <v>0</v>
      </c>
      <c r="AX294" s="89" t="s">
        <v>2300</v>
      </c>
      <c r="AY294" s="95" t="str">
        <f>HYPERLINK("https://twitter.com/perttipiirto")</f>
        <v>https://twitter.com/perttipiirto</v>
      </c>
      <c r="AZ294" s="89" t="s">
        <v>65</v>
      </c>
      <c r="BA294" s="89" t="str">
        <f>REPLACE(INDEX(GroupVertices[Group],MATCH(Vertices[[#This Row],[Vertex]],GroupVertices[Vertex],0)),1,1,"")</f>
        <v>6</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5" t="s">
        <v>518</v>
      </c>
      <c r="B295" s="66"/>
      <c r="C295" s="66" t="s">
        <v>46</v>
      </c>
      <c r="D295" s="67">
        <v>10</v>
      </c>
      <c r="E295" s="69"/>
      <c r="F295" s="111" t="str">
        <f>HYPERLINK("https://abs.twimg.com/sticky/default_profile_images/default_profile_normal.png")</f>
        <v>https://abs.twimg.com/sticky/default_profile_images/default_profile_normal.png</v>
      </c>
      <c r="G295" s="66"/>
      <c r="H295" s="70" t="s">
        <v>518</v>
      </c>
      <c r="I295" s="71" t="s">
        <v>5825</v>
      </c>
      <c r="J295" s="71" t="s">
        <v>75</v>
      </c>
      <c r="K295" s="70" t="s">
        <v>2592</v>
      </c>
      <c r="L295" s="74">
        <v>477.0952380952381</v>
      </c>
      <c r="M295" s="75">
        <v>8175.1435546875</v>
      </c>
      <c r="N295" s="75">
        <v>7486.09423828125</v>
      </c>
      <c r="O295" s="76"/>
      <c r="P295" s="77"/>
      <c r="Q295" s="77"/>
      <c r="R295" s="104"/>
      <c r="S295" s="49">
        <v>1</v>
      </c>
      <c r="T295" s="49">
        <v>0</v>
      </c>
      <c r="U295" s="50">
        <v>0</v>
      </c>
      <c r="V295" s="50">
        <v>0.000651</v>
      </c>
      <c r="W295" s="50">
        <v>5.5E-05</v>
      </c>
      <c r="X295" s="50">
        <v>0.520731</v>
      </c>
      <c r="Y295" s="50">
        <v>0</v>
      </c>
      <c r="Z295" s="50">
        <v>0</v>
      </c>
      <c r="AA295" s="72">
        <v>295</v>
      </c>
      <c r="AB295" s="72"/>
      <c r="AC295" s="73"/>
      <c r="AD295" s="89" t="s">
        <v>1766</v>
      </c>
      <c r="AE295" s="102" t="s">
        <v>1963</v>
      </c>
      <c r="AF295" s="89">
        <v>227</v>
      </c>
      <c r="AG295" s="89">
        <v>10</v>
      </c>
      <c r="AH295" s="89">
        <v>2200</v>
      </c>
      <c r="AI295" s="89">
        <v>9451</v>
      </c>
      <c r="AJ295" s="89"/>
      <c r="AK295" s="89" t="s">
        <v>2208</v>
      </c>
      <c r="AL295" s="89"/>
      <c r="AM295" s="89"/>
      <c r="AN295" s="89"/>
      <c r="AO295" s="92">
        <v>43969.09972222222</v>
      </c>
      <c r="AP295" s="89"/>
      <c r="AQ295" s="89" t="b">
        <v>1</v>
      </c>
      <c r="AR295" s="89" t="b">
        <v>1</v>
      </c>
      <c r="AS295" s="89" t="b">
        <v>0</v>
      </c>
      <c r="AT295" s="89"/>
      <c r="AU295" s="89">
        <v>0</v>
      </c>
      <c r="AV295" s="89"/>
      <c r="AW295" s="89" t="b">
        <v>0</v>
      </c>
      <c r="AX295" s="89" t="s">
        <v>2300</v>
      </c>
      <c r="AY295" s="95" t="str">
        <f>HYPERLINK("https://twitter.com/kaarirossi")</f>
        <v>https://twitter.com/kaarirossi</v>
      </c>
      <c r="AZ295" s="89" t="s">
        <v>65</v>
      </c>
      <c r="BA295" s="89" t="str">
        <f>REPLACE(INDEX(GroupVertices[Group],MATCH(Vertices[[#This Row],[Vertex]],GroupVertices[Vertex],0)),1,1,"")</f>
        <v>6</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5" t="s">
        <v>519</v>
      </c>
      <c r="B296" s="66"/>
      <c r="C296" s="66" t="s">
        <v>46</v>
      </c>
      <c r="D296" s="67">
        <v>10</v>
      </c>
      <c r="E296" s="69"/>
      <c r="F296" s="111" t="str">
        <f>HYPERLINK("https://abs.twimg.com/sticky/default_profile_images/default_profile_normal.png")</f>
        <v>https://abs.twimg.com/sticky/default_profile_images/default_profile_normal.png</v>
      </c>
      <c r="G296" s="66"/>
      <c r="H296" s="70" t="s">
        <v>519</v>
      </c>
      <c r="I296" s="71" t="s">
        <v>5825</v>
      </c>
      <c r="J296" s="71" t="s">
        <v>75</v>
      </c>
      <c r="K296" s="70" t="s">
        <v>2593</v>
      </c>
      <c r="L296" s="74">
        <v>477.0952380952381</v>
      </c>
      <c r="M296" s="75">
        <v>8136.72216796875</v>
      </c>
      <c r="N296" s="75">
        <v>8649.8525390625</v>
      </c>
      <c r="O296" s="76"/>
      <c r="P296" s="77"/>
      <c r="Q296" s="77"/>
      <c r="R296" s="104"/>
      <c r="S296" s="49">
        <v>1</v>
      </c>
      <c r="T296" s="49">
        <v>0</v>
      </c>
      <c r="U296" s="50">
        <v>0</v>
      </c>
      <c r="V296" s="50">
        <v>0.000651</v>
      </c>
      <c r="W296" s="50">
        <v>5.5E-05</v>
      </c>
      <c r="X296" s="50">
        <v>0.520731</v>
      </c>
      <c r="Y296" s="50">
        <v>0</v>
      </c>
      <c r="Z296" s="50">
        <v>0</v>
      </c>
      <c r="AA296" s="72">
        <v>296</v>
      </c>
      <c r="AB296" s="72"/>
      <c r="AC296" s="73"/>
      <c r="AD296" s="89" t="s">
        <v>1767</v>
      </c>
      <c r="AE296" s="102" t="s">
        <v>1964</v>
      </c>
      <c r="AF296" s="89">
        <v>73</v>
      </c>
      <c r="AG296" s="89">
        <v>67</v>
      </c>
      <c r="AH296" s="89">
        <v>5433</v>
      </c>
      <c r="AI296" s="89">
        <v>6282</v>
      </c>
      <c r="AJ296" s="89"/>
      <c r="AK296" s="89"/>
      <c r="AL296" s="89" t="s">
        <v>2289</v>
      </c>
      <c r="AM296" s="89"/>
      <c r="AN296" s="89"/>
      <c r="AO296" s="92">
        <v>43976.38398148148</v>
      </c>
      <c r="AP296" s="89"/>
      <c r="AQ296" s="89" t="b">
        <v>1</v>
      </c>
      <c r="AR296" s="89" t="b">
        <v>1</v>
      </c>
      <c r="AS296" s="89" t="b">
        <v>1</v>
      </c>
      <c r="AT296" s="89"/>
      <c r="AU296" s="89">
        <v>2</v>
      </c>
      <c r="AV296" s="89"/>
      <c r="AW296" s="89" t="b">
        <v>0</v>
      </c>
      <c r="AX296" s="89" t="s">
        <v>2300</v>
      </c>
      <c r="AY296" s="95" t="str">
        <f>HYPERLINK("https://twitter.com/ailavilen")</f>
        <v>https://twitter.com/ailavilen</v>
      </c>
      <c r="AZ296" s="89" t="s">
        <v>65</v>
      </c>
      <c r="BA296" s="89" t="str">
        <f>REPLACE(INDEX(GroupVertices[Group],MATCH(Vertices[[#This Row],[Vertex]],GroupVertices[Vertex],0)),1,1,"")</f>
        <v>6</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5" t="s">
        <v>520</v>
      </c>
      <c r="B297" s="66"/>
      <c r="C297" s="66" t="s">
        <v>46</v>
      </c>
      <c r="D297" s="67">
        <v>10</v>
      </c>
      <c r="E297" s="69"/>
      <c r="F297" s="111" t="str">
        <f>HYPERLINK("https://pbs.twimg.com/profile_images/1307794934737625088/AH6_dz43_normal.jpg")</f>
        <v>https://pbs.twimg.com/profile_images/1307794934737625088/AH6_dz43_normal.jpg</v>
      </c>
      <c r="G297" s="66"/>
      <c r="H297" s="70" t="s">
        <v>520</v>
      </c>
      <c r="I297" s="71" t="s">
        <v>5825</v>
      </c>
      <c r="J297" s="71" t="s">
        <v>75</v>
      </c>
      <c r="K297" s="70" t="s">
        <v>2594</v>
      </c>
      <c r="L297" s="74">
        <v>477.0952380952381</v>
      </c>
      <c r="M297" s="75">
        <v>7981.18505859375</v>
      </c>
      <c r="N297" s="75">
        <v>7408.17138671875</v>
      </c>
      <c r="O297" s="76"/>
      <c r="P297" s="77"/>
      <c r="Q297" s="77"/>
      <c r="R297" s="104"/>
      <c r="S297" s="49">
        <v>1</v>
      </c>
      <c r="T297" s="49">
        <v>0</v>
      </c>
      <c r="U297" s="50">
        <v>0</v>
      </c>
      <c r="V297" s="50">
        <v>0.000651</v>
      </c>
      <c r="W297" s="50">
        <v>5.5E-05</v>
      </c>
      <c r="X297" s="50">
        <v>0.520731</v>
      </c>
      <c r="Y297" s="50">
        <v>0</v>
      </c>
      <c r="Z297" s="50">
        <v>0</v>
      </c>
      <c r="AA297" s="72">
        <v>297</v>
      </c>
      <c r="AB297" s="72"/>
      <c r="AC297" s="73"/>
      <c r="AD297" s="89" t="s">
        <v>1768</v>
      </c>
      <c r="AE297" s="102" t="s">
        <v>1440</v>
      </c>
      <c r="AF297" s="89">
        <v>639</v>
      </c>
      <c r="AG297" s="89">
        <v>240</v>
      </c>
      <c r="AH297" s="89">
        <v>4526</v>
      </c>
      <c r="AI297" s="89">
        <v>24803</v>
      </c>
      <c r="AJ297" s="89"/>
      <c r="AK297" s="89" t="s">
        <v>2209</v>
      </c>
      <c r="AL297" s="89" t="s">
        <v>2299</v>
      </c>
      <c r="AM297" s="89"/>
      <c r="AN297" s="89"/>
      <c r="AO297" s="92">
        <v>41972.66173611111</v>
      </c>
      <c r="AP297" s="89"/>
      <c r="AQ297" s="89" t="b">
        <v>1</v>
      </c>
      <c r="AR297" s="89" t="b">
        <v>0</v>
      </c>
      <c r="AS297" s="89" t="b">
        <v>0</v>
      </c>
      <c r="AT297" s="89"/>
      <c r="AU297" s="89">
        <v>0</v>
      </c>
      <c r="AV297" s="95" t="str">
        <f>HYPERLINK("https://abs.twimg.com/images/themes/theme1/bg.png")</f>
        <v>https://abs.twimg.com/images/themes/theme1/bg.png</v>
      </c>
      <c r="AW297" s="89" t="b">
        <v>0</v>
      </c>
      <c r="AX297" s="89" t="s">
        <v>2300</v>
      </c>
      <c r="AY297" s="95" t="str">
        <f>HYPERLINK("https://twitter.com/panu_saarela")</f>
        <v>https://twitter.com/panu_saarela</v>
      </c>
      <c r="AZ297" s="89" t="s">
        <v>65</v>
      </c>
      <c r="BA297" s="89" t="str">
        <f>REPLACE(INDEX(GroupVertices[Group],MATCH(Vertices[[#This Row],[Vertex]],GroupVertices[Vertex],0)),1,1,"")</f>
        <v>6</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5" t="s">
        <v>377</v>
      </c>
      <c r="B298" s="66"/>
      <c r="C298" s="66" t="s">
        <v>46</v>
      </c>
      <c r="D298" s="67"/>
      <c r="E298" s="69"/>
      <c r="F298" s="111" t="str">
        <f>HYPERLINK("https://pbs.twimg.com/profile_images/378800000788182916/90e3855c87dfcabcc1e5a0d2fc534620_normal.jpeg")</f>
        <v>https://pbs.twimg.com/profile_images/378800000788182916/90e3855c87dfcabcc1e5a0d2fc534620_normal.jpeg</v>
      </c>
      <c r="G298" s="66"/>
      <c r="H298" s="70" t="s">
        <v>377</v>
      </c>
      <c r="I298" s="71" t="s">
        <v>5839</v>
      </c>
      <c r="J298" s="71" t="s">
        <v>73</v>
      </c>
      <c r="K298" s="70" t="s">
        <v>2595</v>
      </c>
      <c r="L298" s="74">
        <v>1</v>
      </c>
      <c r="M298" s="75">
        <v>9088.1865234375</v>
      </c>
      <c r="N298" s="75">
        <v>1756.2646484375</v>
      </c>
      <c r="O298" s="76"/>
      <c r="P298" s="77"/>
      <c r="Q298" s="77"/>
      <c r="R298" s="104"/>
      <c r="S298" s="49">
        <v>0</v>
      </c>
      <c r="T298" s="49">
        <v>1</v>
      </c>
      <c r="U298" s="50">
        <v>0</v>
      </c>
      <c r="V298" s="50">
        <v>1</v>
      </c>
      <c r="W298" s="50">
        <v>0</v>
      </c>
      <c r="X298" s="50">
        <v>0.999998</v>
      </c>
      <c r="Y298" s="50">
        <v>0</v>
      </c>
      <c r="Z298" s="50">
        <v>0</v>
      </c>
      <c r="AA298" s="72">
        <v>298</v>
      </c>
      <c r="AB298" s="72"/>
      <c r="AC298" s="73"/>
      <c r="AD298" s="89" t="s">
        <v>1769</v>
      </c>
      <c r="AE298" s="102" t="s">
        <v>1965</v>
      </c>
      <c r="AF298" s="89">
        <v>91</v>
      </c>
      <c r="AG298" s="89">
        <v>208</v>
      </c>
      <c r="AH298" s="89">
        <v>6975</v>
      </c>
      <c r="AI298" s="89">
        <v>1586</v>
      </c>
      <c r="AJ298" s="89"/>
      <c r="AK298" s="89"/>
      <c r="AL298" s="89"/>
      <c r="AM298" s="89"/>
      <c r="AN298" s="89"/>
      <c r="AO298" s="92">
        <v>41107.973715277774</v>
      </c>
      <c r="AP298" s="89"/>
      <c r="AQ298" s="89" t="b">
        <v>1</v>
      </c>
      <c r="AR298" s="89" t="b">
        <v>0</v>
      </c>
      <c r="AS298" s="89" t="b">
        <v>0</v>
      </c>
      <c r="AT298" s="89"/>
      <c r="AU298" s="89">
        <v>1</v>
      </c>
      <c r="AV298" s="95" t="str">
        <f>HYPERLINK("https://abs.twimg.com/images/themes/theme1/bg.png")</f>
        <v>https://abs.twimg.com/images/themes/theme1/bg.png</v>
      </c>
      <c r="AW298" s="89" t="b">
        <v>0</v>
      </c>
      <c r="AX298" s="89" t="s">
        <v>2300</v>
      </c>
      <c r="AY298" s="95" t="str">
        <f>HYPERLINK("https://twitter.com/kankioy")</f>
        <v>https://twitter.com/kankioy</v>
      </c>
      <c r="AZ298" s="89" t="s">
        <v>66</v>
      </c>
      <c r="BA298" s="89" t="str">
        <f>REPLACE(INDEX(GroupVertices[Group],MATCH(Vertices[[#This Row],[Vertex]],GroupVertices[Vertex],0)),1,1,"")</f>
        <v>21</v>
      </c>
      <c r="BB298" s="49">
        <v>0</v>
      </c>
      <c r="BC298" s="50">
        <v>0</v>
      </c>
      <c r="BD298" s="49">
        <v>0</v>
      </c>
      <c r="BE298" s="50">
        <v>0</v>
      </c>
      <c r="BF298" s="49">
        <v>0</v>
      </c>
      <c r="BG298" s="50">
        <v>0</v>
      </c>
      <c r="BH298" s="49">
        <v>37</v>
      </c>
      <c r="BI298" s="50">
        <v>100</v>
      </c>
      <c r="BJ298" s="49">
        <v>37</v>
      </c>
      <c r="BK298" s="49"/>
      <c r="BL298" s="49"/>
      <c r="BM298" s="49"/>
      <c r="BN298" s="49"/>
      <c r="BO298" s="49"/>
      <c r="BP298" s="49"/>
      <c r="BQ298" s="123" t="s">
        <v>5650</v>
      </c>
      <c r="BR298" s="123" t="s">
        <v>5650</v>
      </c>
      <c r="BS298" s="123" t="s">
        <v>5799</v>
      </c>
      <c r="BT298" s="123" t="s">
        <v>5799</v>
      </c>
      <c r="BU298" s="2"/>
      <c r="BV298" s="3"/>
      <c r="BW298" s="3"/>
      <c r="BX298" s="3"/>
      <c r="BY298" s="3"/>
    </row>
    <row r="299" spans="1:77" ht="15">
      <c r="A299" s="80" t="s">
        <v>521</v>
      </c>
      <c r="B299" s="81"/>
      <c r="C299" s="81" t="s">
        <v>46</v>
      </c>
      <c r="D299" s="82">
        <v>10</v>
      </c>
      <c r="E299" s="84"/>
      <c r="F299" s="112" t="str">
        <f>HYPERLINK("https://pbs.twimg.com/profile_images/1264274324342652929/WMuSAadr_normal.jpg")</f>
        <v>https://pbs.twimg.com/profile_images/1264274324342652929/WMuSAadr_normal.jpg</v>
      </c>
      <c r="G299" s="81"/>
      <c r="H299" s="85" t="s">
        <v>521</v>
      </c>
      <c r="I299" s="86" t="s">
        <v>5839</v>
      </c>
      <c r="J299" s="86" t="s">
        <v>75</v>
      </c>
      <c r="K299" s="85" t="s">
        <v>2596</v>
      </c>
      <c r="L299" s="105">
        <v>477.0952380952381</v>
      </c>
      <c r="M299" s="106">
        <v>9088.1865234375</v>
      </c>
      <c r="N299" s="106">
        <v>1381.5948486328125</v>
      </c>
      <c r="O299" s="107"/>
      <c r="P299" s="108"/>
      <c r="Q299" s="108"/>
      <c r="R299" s="109"/>
      <c r="S299" s="49">
        <v>1</v>
      </c>
      <c r="T299" s="49">
        <v>0</v>
      </c>
      <c r="U299" s="50">
        <v>0</v>
      </c>
      <c r="V299" s="50">
        <v>1</v>
      </c>
      <c r="W299" s="50">
        <v>0</v>
      </c>
      <c r="X299" s="50">
        <v>0.999998</v>
      </c>
      <c r="Y299" s="50">
        <v>0</v>
      </c>
      <c r="Z299" s="50">
        <v>0</v>
      </c>
      <c r="AA299" s="110">
        <v>299</v>
      </c>
      <c r="AB299" s="110"/>
      <c r="AC299" s="88"/>
      <c r="AD299" s="89" t="s">
        <v>1770</v>
      </c>
      <c r="AE299" s="102" t="s">
        <v>1441</v>
      </c>
      <c r="AF299" s="89">
        <v>1017</v>
      </c>
      <c r="AG299" s="89">
        <v>3307</v>
      </c>
      <c r="AH299" s="89">
        <v>1109</v>
      </c>
      <c r="AI299" s="89">
        <v>584</v>
      </c>
      <c r="AJ299" s="89"/>
      <c r="AK299" s="89" t="s">
        <v>2210</v>
      </c>
      <c r="AL299" s="89"/>
      <c r="AM299" s="95" t="str">
        <f>HYPERLINK("https://t.co/2NwM9UReTf")</f>
        <v>https://t.co/2NwM9UReTf</v>
      </c>
      <c r="AN299" s="89"/>
      <c r="AO299" s="92">
        <v>43697.53748842593</v>
      </c>
      <c r="AP299" s="95" t="str">
        <f>HYPERLINK("https://pbs.twimg.com/profile_banners/1163796210068705283/1590261308")</f>
        <v>https://pbs.twimg.com/profile_banners/1163796210068705283/1590261308</v>
      </c>
      <c r="AQ299" s="89" t="b">
        <v>1</v>
      </c>
      <c r="AR299" s="89" t="b">
        <v>0</v>
      </c>
      <c r="AS299" s="89" t="b">
        <v>0</v>
      </c>
      <c r="AT299" s="89"/>
      <c r="AU299" s="89">
        <v>2</v>
      </c>
      <c r="AV299" s="89"/>
      <c r="AW299" s="89" t="b">
        <v>0</v>
      </c>
      <c r="AX299" s="89" t="s">
        <v>2300</v>
      </c>
      <c r="AY299" s="95" t="str">
        <f>HYPERLINK("https://twitter.com/puolimatkatapio")</f>
        <v>https://twitter.com/puolimatkatapio</v>
      </c>
      <c r="AZ299" s="89" t="s">
        <v>65</v>
      </c>
      <c r="BA299" s="89" t="str">
        <f>REPLACE(INDEX(GroupVertices[Group],MATCH(Vertices[[#This Row],[Vertex]],GroupVertices[Vertex],0)),1,1,"")</f>
        <v>21</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9"/>
    <dataValidation allowBlank="1" showInputMessage="1" promptTitle="Vertex Tooltip" prompt="Enter optional text that will pop up when the mouse is hovered over the vertex." errorTitle="Invalid Vertex Image Key" sqref="K3:K2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9"/>
    <dataValidation allowBlank="1" showInputMessage="1" promptTitle="Vertex Label Fill Color" prompt="To select an optional fill color for the Label shape, right-click and select Select Color on the right-click menu." sqref="I3:I299"/>
    <dataValidation allowBlank="1" showInputMessage="1" promptTitle="Vertex Image File" prompt="Enter the path to an image file.  Hover over the column header for examples." errorTitle="Invalid Vertex Image Key" sqref="F3:F299"/>
    <dataValidation allowBlank="1" showInputMessage="1" promptTitle="Vertex Color" prompt="To select an optional vertex color, right-click and select Select Color on the right-click menu." sqref="B3:B299"/>
    <dataValidation allowBlank="1" showInputMessage="1" promptTitle="Vertex Opacity" prompt="Enter an optional vertex opacity between 0 (transparent) and 100 (opaque)." errorTitle="Invalid Vertex Opacity" error="The optional vertex opacity must be a whole number between 0 and 10." sqref="E3:E299"/>
    <dataValidation type="list" allowBlank="1" showInputMessage="1" showErrorMessage="1" promptTitle="Vertex Shape" prompt="Select an optional vertex shape." errorTitle="Invalid Vertex Shape" error="You have entered an invalid vertex shape.  Try selecting from the drop-down list instead." sqref="C3:C2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9">
      <formula1>ValidVertexLabelPositions</formula1>
    </dataValidation>
    <dataValidation allowBlank="1" showInputMessage="1" showErrorMessage="1" promptTitle="Vertex Name" prompt="Enter the name of the vertex." sqref="A3:A2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3123</v>
      </c>
      <c r="Z2" s="54" t="s">
        <v>3124</v>
      </c>
      <c r="AA2" s="54" t="s">
        <v>3125</v>
      </c>
      <c r="AB2" s="54" t="s">
        <v>3126</v>
      </c>
      <c r="AC2" s="54" t="s">
        <v>3127</v>
      </c>
      <c r="AD2" s="54" t="s">
        <v>3128</v>
      </c>
      <c r="AE2" s="54" t="s">
        <v>3129</v>
      </c>
      <c r="AF2" s="54" t="s">
        <v>3130</v>
      </c>
      <c r="AG2" s="54" t="s">
        <v>3133</v>
      </c>
      <c r="AH2" s="13" t="s">
        <v>5235</v>
      </c>
      <c r="AI2" s="13" t="s">
        <v>5259</v>
      </c>
      <c r="AJ2" s="13" t="s">
        <v>5279</v>
      </c>
      <c r="AK2" s="13" t="s">
        <v>5294</v>
      </c>
      <c r="AL2" s="13" t="s">
        <v>5403</v>
      </c>
      <c r="AM2" s="13" t="s">
        <v>5441</v>
      </c>
      <c r="AN2" s="13" t="s">
        <v>5453</v>
      </c>
      <c r="AO2" s="13" t="s">
        <v>5477</v>
      </c>
    </row>
    <row r="3" spans="1:41" ht="15">
      <c r="A3" s="65" t="s">
        <v>2607</v>
      </c>
      <c r="B3" s="66" t="s">
        <v>2635</v>
      </c>
      <c r="C3" s="66" t="s">
        <v>56</v>
      </c>
      <c r="D3" s="114"/>
      <c r="E3" s="14" t="s">
        <v>65</v>
      </c>
      <c r="F3" s="15" t="s">
        <v>5840</v>
      </c>
      <c r="G3" s="64"/>
      <c r="H3" s="64"/>
      <c r="I3" s="115">
        <v>3</v>
      </c>
      <c r="J3" s="51"/>
      <c r="K3" s="49">
        <v>45</v>
      </c>
      <c r="L3" s="49">
        <v>65</v>
      </c>
      <c r="M3" s="49">
        <v>17</v>
      </c>
      <c r="N3" s="49">
        <v>82</v>
      </c>
      <c r="O3" s="49">
        <v>5</v>
      </c>
      <c r="P3" s="50">
        <v>0.04477611940298507</v>
      </c>
      <c r="Q3" s="50">
        <v>0.08571428571428572</v>
      </c>
      <c r="R3" s="49">
        <v>1</v>
      </c>
      <c r="S3" s="49">
        <v>0</v>
      </c>
      <c r="T3" s="49">
        <v>45</v>
      </c>
      <c r="U3" s="49">
        <v>82</v>
      </c>
      <c r="V3" s="49">
        <v>6</v>
      </c>
      <c r="W3" s="50">
        <v>2.931358</v>
      </c>
      <c r="X3" s="50">
        <v>0.03535353535353535</v>
      </c>
      <c r="Y3" s="49">
        <v>0</v>
      </c>
      <c r="Z3" s="50">
        <v>0</v>
      </c>
      <c r="AA3" s="49">
        <v>0</v>
      </c>
      <c r="AB3" s="50">
        <v>0</v>
      </c>
      <c r="AC3" s="49">
        <v>0</v>
      </c>
      <c r="AD3" s="50">
        <v>0</v>
      </c>
      <c r="AE3" s="49">
        <v>1148</v>
      </c>
      <c r="AF3" s="50">
        <v>100</v>
      </c>
      <c r="AG3" s="49">
        <v>1148</v>
      </c>
      <c r="AH3" s="89" t="s">
        <v>5236</v>
      </c>
      <c r="AI3" s="89" t="s">
        <v>5260</v>
      </c>
      <c r="AJ3" s="89" t="s">
        <v>5280</v>
      </c>
      <c r="AK3" s="102" t="s">
        <v>5295</v>
      </c>
      <c r="AL3" s="102" t="s">
        <v>5404</v>
      </c>
      <c r="AM3" s="102" t="s">
        <v>5442</v>
      </c>
      <c r="AN3" s="102" t="s">
        <v>5454</v>
      </c>
      <c r="AO3" s="102" t="s">
        <v>5478</v>
      </c>
    </row>
    <row r="4" spans="1:41" ht="15">
      <c r="A4" s="65" t="s">
        <v>2608</v>
      </c>
      <c r="B4" s="66" t="s">
        <v>2636</v>
      </c>
      <c r="C4" s="66" t="s">
        <v>56</v>
      </c>
      <c r="D4" s="114"/>
      <c r="E4" s="14" t="s">
        <v>65</v>
      </c>
      <c r="F4" s="15" t="s">
        <v>5841</v>
      </c>
      <c r="G4" s="64"/>
      <c r="H4" s="64"/>
      <c r="I4" s="115">
        <v>4</v>
      </c>
      <c r="J4" s="78"/>
      <c r="K4" s="49">
        <v>39</v>
      </c>
      <c r="L4" s="49">
        <v>58</v>
      </c>
      <c r="M4" s="49">
        <v>30</v>
      </c>
      <c r="N4" s="49">
        <v>88</v>
      </c>
      <c r="O4" s="49">
        <v>3</v>
      </c>
      <c r="P4" s="50">
        <v>0</v>
      </c>
      <c r="Q4" s="50">
        <v>0</v>
      </c>
      <c r="R4" s="49">
        <v>1</v>
      </c>
      <c r="S4" s="49">
        <v>0</v>
      </c>
      <c r="T4" s="49">
        <v>39</v>
      </c>
      <c r="U4" s="49">
        <v>88</v>
      </c>
      <c r="V4" s="49">
        <v>5</v>
      </c>
      <c r="W4" s="50">
        <v>2.573307</v>
      </c>
      <c r="X4" s="50">
        <v>0.0465587044534413</v>
      </c>
      <c r="Y4" s="49">
        <v>4</v>
      </c>
      <c r="Z4" s="50">
        <v>0.4214963119072708</v>
      </c>
      <c r="AA4" s="49">
        <v>0</v>
      </c>
      <c r="AB4" s="50">
        <v>0</v>
      </c>
      <c r="AC4" s="49">
        <v>0</v>
      </c>
      <c r="AD4" s="50">
        <v>0</v>
      </c>
      <c r="AE4" s="49">
        <v>945</v>
      </c>
      <c r="AF4" s="50">
        <v>99.57850368809272</v>
      </c>
      <c r="AG4" s="49">
        <v>949</v>
      </c>
      <c r="AH4" s="89" t="s">
        <v>5237</v>
      </c>
      <c r="AI4" s="89" t="s">
        <v>5261</v>
      </c>
      <c r="AJ4" s="89" t="s">
        <v>5281</v>
      </c>
      <c r="AK4" s="102" t="s">
        <v>5296</v>
      </c>
      <c r="AL4" s="102" t="s">
        <v>5405</v>
      </c>
      <c r="AM4" s="102" t="s">
        <v>5443</v>
      </c>
      <c r="AN4" s="102" t="s">
        <v>5455</v>
      </c>
      <c r="AO4" s="102" t="s">
        <v>5479</v>
      </c>
    </row>
    <row r="5" spans="1:41" ht="15">
      <c r="A5" s="65" t="s">
        <v>2609</v>
      </c>
      <c r="B5" s="66" t="s">
        <v>2637</v>
      </c>
      <c r="C5" s="66" t="s">
        <v>56</v>
      </c>
      <c r="D5" s="114"/>
      <c r="E5" s="14" t="s">
        <v>65</v>
      </c>
      <c r="F5" s="15" t="s">
        <v>5842</v>
      </c>
      <c r="G5" s="64"/>
      <c r="H5" s="64"/>
      <c r="I5" s="115">
        <v>5</v>
      </c>
      <c r="J5" s="78"/>
      <c r="K5" s="49">
        <v>32</v>
      </c>
      <c r="L5" s="49">
        <v>63</v>
      </c>
      <c r="M5" s="49">
        <v>31</v>
      </c>
      <c r="N5" s="49">
        <v>94</v>
      </c>
      <c r="O5" s="49">
        <v>1</v>
      </c>
      <c r="P5" s="50">
        <v>0</v>
      </c>
      <c r="Q5" s="50">
        <v>0</v>
      </c>
      <c r="R5" s="49">
        <v>1</v>
      </c>
      <c r="S5" s="49">
        <v>0</v>
      </c>
      <c r="T5" s="49">
        <v>32</v>
      </c>
      <c r="U5" s="49">
        <v>94</v>
      </c>
      <c r="V5" s="49">
        <v>6</v>
      </c>
      <c r="W5" s="50">
        <v>2.392578</v>
      </c>
      <c r="X5" s="50">
        <v>0.07762096774193548</v>
      </c>
      <c r="Y5" s="49">
        <v>0</v>
      </c>
      <c r="Z5" s="50">
        <v>0</v>
      </c>
      <c r="AA5" s="49">
        <v>6</v>
      </c>
      <c r="AB5" s="50">
        <v>1.0309278350515463</v>
      </c>
      <c r="AC5" s="49">
        <v>0</v>
      </c>
      <c r="AD5" s="50">
        <v>0</v>
      </c>
      <c r="AE5" s="49">
        <v>576</v>
      </c>
      <c r="AF5" s="50">
        <v>98.96907216494846</v>
      </c>
      <c r="AG5" s="49">
        <v>582</v>
      </c>
      <c r="AH5" s="89" t="s">
        <v>5238</v>
      </c>
      <c r="AI5" s="89" t="s">
        <v>5262</v>
      </c>
      <c r="AJ5" s="89" t="s">
        <v>715</v>
      </c>
      <c r="AK5" s="102" t="s">
        <v>5297</v>
      </c>
      <c r="AL5" s="102" t="s">
        <v>5406</v>
      </c>
      <c r="AM5" s="102" t="s">
        <v>5444</v>
      </c>
      <c r="AN5" s="102" t="s">
        <v>5456</v>
      </c>
      <c r="AO5" s="102" t="s">
        <v>5480</v>
      </c>
    </row>
    <row r="6" spans="1:41" ht="15">
      <c r="A6" s="65" t="s">
        <v>2610</v>
      </c>
      <c r="B6" s="66" t="s">
        <v>2638</v>
      </c>
      <c r="C6" s="66" t="s">
        <v>56</v>
      </c>
      <c r="D6" s="114"/>
      <c r="E6" s="14" t="s">
        <v>65</v>
      </c>
      <c r="F6" s="15" t="s">
        <v>2610</v>
      </c>
      <c r="G6" s="64"/>
      <c r="H6" s="64"/>
      <c r="I6" s="115">
        <v>6</v>
      </c>
      <c r="J6" s="78"/>
      <c r="K6" s="49">
        <v>32</v>
      </c>
      <c r="L6" s="49">
        <v>21</v>
      </c>
      <c r="M6" s="49">
        <v>25</v>
      </c>
      <c r="N6" s="49">
        <v>46</v>
      </c>
      <c r="O6" s="49">
        <v>2</v>
      </c>
      <c r="P6" s="50">
        <v>0</v>
      </c>
      <c r="Q6" s="50">
        <v>0</v>
      </c>
      <c r="R6" s="49">
        <v>1</v>
      </c>
      <c r="S6" s="49">
        <v>0</v>
      </c>
      <c r="T6" s="49">
        <v>32</v>
      </c>
      <c r="U6" s="49">
        <v>46</v>
      </c>
      <c r="V6" s="49">
        <v>6</v>
      </c>
      <c r="W6" s="50">
        <v>2.730469</v>
      </c>
      <c r="X6" s="50">
        <v>0.03125</v>
      </c>
      <c r="Y6" s="49">
        <v>0</v>
      </c>
      <c r="Z6" s="50">
        <v>0</v>
      </c>
      <c r="AA6" s="49">
        <v>0</v>
      </c>
      <c r="AB6" s="50">
        <v>0</v>
      </c>
      <c r="AC6" s="49">
        <v>0</v>
      </c>
      <c r="AD6" s="50">
        <v>0</v>
      </c>
      <c r="AE6" s="49">
        <v>408</v>
      </c>
      <c r="AF6" s="50">
        <v>100</v>
      </c>
      <c r="AG6" s="49">
        <v>408</v>
      </c>
      <c r="AH6" s="89" t="s">
        <v>5188</v>
      </c>
      <c r="AI6" s="89" t="s">
        <v>693</v>
      </c>
      <c r="AJ6" s="89"/>
      <c r="AK6" s="102" t="s">
        <v>5298</v>
      </c>
      <c r="AL6" s="102" t="s">
        <v>5407</v>
      </c>
      <c r="AM6" s="102" t="s">
        <v>5445</v>
      </c>
      <c r="AN6" s="102" t="s">
        <v>5457</v>
      </c>
      <c r="AO6" s="102" t="s">
        <v>5481</v>
      </c>
    </row>
    <row r="7" spans="1:41" ht="15">
      <c r="A7" s="65" t="s">
        <v>2611</v>
      </c>
      <c r="B7" s="66" t="s">
        <v>2639</v>
      </c>
      <c r="C7" s="66" t="s">
        <v>56</v>
      </c>
      <c r="D7" s="114"/>
      <c r="E7" s="14" t="s">
        <v>65</v>
      </c>
      <c r="F7" s="15" t="s">
        <v>5843</v>
      </c>
      <c r="G7" s="64"/>
      <c r="H7" s="64"/>
      <c r="I7" s="115">
        <v>7</v>
      </c>
      <c r="J7" s="78"/>
      <c r="K7" s="49">
        <v>31</v>
      </c>
      <c r="L7" s="49">
        <v>47</v>
      </c>
      <c r="M7" s="49">
        <v>6</v>
      </c>
      <c r="N7" s="49">
        <v>53</v>
      </c>
      <c r="O7" s="49">
        <v>2</v>
      </c>
      <c r="P7" s="50">
        <v>0.0425531914893617</v>
      </c>
      <c r="Q7" s="50">
        <v>0.08163265306122448</v>
      </c>
      <c r="R7" s="49">
        <v>1</v>
      </c>
      <c r="S7" s="49">
        <v>0</v>
      </c>
      <c r="T7" s="49">
        <v>31</v>
      </c>
      <c r="U7" s="49">
        <v>53</v>
      </c>
      <c r="V7" s="49">
        <v>6</v>
      </c>
      <c r="W7" s="50">
        <v>2.220604</v>
      </c>
      <c r="X7" s="50">
        <v>0.05268817204301075</v>
      </c>
      <c r="Y7" s="49">
        <v>6</v>
      </c>
      <c r="Z7" s="50">
        <v>0.7168458781362007</v>
      </c>
      <c r="AA7" s="49">
        <v>0</v>
      </c>
      <c r="AB7" s="50">
        <v>0</v>
      </c>
      <c r="AC7" s="49">
        <v>0</v>
      </c>
      <c r="AD7" s="50">
        <v>0</v>
      </c>
      <c r="AE7" s="49">
        <v>831</v>
      </c>
      <c r="AF7" s="50">
        <v>99.2831541218638</v>
      </c>
      <c r="AG7" s="49">
        <v>837</v>
      </c>
      <c r="AH7" s="89" t="s">
        <v>5239</v>
      </c>
      <c r="AI7" s="89" t="s">
        <v>5263</v>
      </c>
      <c r="AJ7" s="89" t="s">
        <v>5282</v>
      </c>
      <c r="AK7" s="102" t="s">
        <v>5299</v>
      </c>
      <c r="AL7" s="102" t="s">
        <v>5408</v>
      </c>
      <c r="AM7" s="102" t="s">
        <v>5446</v>
      </c>
      <c r="AN7" s="102" t="s">
        <v>5458</v>
      </c>
      <c r="AO7" s="102" t="s">
        <v>5482</v>
      </c>
    </row>
    <row r="8" spans="1:41" ht="15">
      <c r="A8" s="65" t="s">
        <v>2612</v>
      </c>
      <c r="B8" s="66" t="s">
        <v>2640</v>
      </c>
      <c r="C8" s="66" t="s">
        <v>56</v>
      </c>
      <c r="D8" s="114"/>
      <c r="E8" s="14" t="s">
        <v>65</v>
      </c>
      <c r="F8" s="15" t="s">
        <v>5844</v>
      </c>
      <c r="G8" s="64"/>
      <c r="H8" s="64"/>
      <c r="I8" s="115">
        <v>8</v>
      </c>
      <c r="J8" s="78"/>
      <c r="K8" s="49">
        <v>24</v>
      </c>
      <c r="L8" s="49">
        <v>23</v>
      </c>
      <c r="M8" s="49">
        <v>0</v>
      </c>
      <c r="N8" s="49">
        <v>23</v>
      </c>
      <c r="O8" s="49">
        <v>0</v>
      </c>
      <c r="P8" s="50">
        <v>0</v>
      </c>
      <c r="Q8" s="50">
        <v>0</v>
      </c>
      <c r="R8" s="49">
        <v>1</v>
      </c>
      <c r="S8" s="49">
        <v>0</v>
      </c>
      <c r="T8" s="49">
        <v>24</v>
      </c>
      <c r="U8" s="49">
        <v>23</v>
      </c>
      <c r="V8" s="49">
        <v>7</v>
      </c>
      <c r="W8" s="50">
        <v>3.482639</v>
      </c>
      <c r="X8" s="50">
        <v>0.041666666666666664</v>
      </c>
      <c r="Y8" s="49">
        <v>0</v>
      </c>
      <c r="Z8" s="50">
        <v>0</v>
      </c>
      <c r="AA8" s="49">
        <v>0</v>
      </c>
      <c r="AB8" s="50">
        <v>0</v>
      </c>
      <c r="AC8" s="49">
        <v>0</v>
      </c>
      <c r="AD8" s="50">
        <v>0</v>
      </c>
      <c r="AE8" s="49">
        <v>277</v>
      </c>
      <c r="AF8" s="50">
        <v>100</v>
      </c>
      <c r="AG8" s="49">
        <v>277</v>
      </c>
      <c r="AH8" s="89" t="s">
        <v>5188</v>
      </c>
      <c r="AI8" s="89" t="s">
        <v>693</v>
      </c>
      <c r="AJ8" s="89" t="s">
        <v>717</v>
      </c>
      <c r="AK8" s="102" t="s">
        <v>5300</v>
      </c>
      <c r="AL8" s="102" t="s">
        <v>5409</v>
      </c>
      <c r="AM8" s="102" t="s">
        <v>5447</v>
      </c>
      <c r="AN8" s="102" t="s">
        <v>5459</v>
      </c>
      <c r="AO8" s="102" t="s">
        <v>5483</v>
      </c>
    </row>
    <row r="9" spans="1:41" ht="15">
      <c r="A9" s="65" t="s">
        <v>2613</v>
      </c>
      <c r="B9" s="66" t="s">
        <v>2641</v>
      </c>
      <c r="C9" s="66" t="s">
        <v>56</v>
      </c>
      <c r="D9" s="114"/>
      <c r="E9" s="14" t="s">
        <v>65</v>
      </c>
      <c r="F9" s="15" t="s">
        <v>2613</v>
      </c>
      <c r="G9" s="64"/>
      <c r="H9" s="64"/>
      <c r="I9" s="115">
        <v>9</v>
      </c>
      <c r="J9" s="78"/>
      <c r="K9" s="49">
        <v>13</v>
      </c>
      <c r="L9" s="49">
        <v>17</v>
      </c>
      <c r="M9" s="49">
        <v>0</v>
      </c>
      <c r="N9" s="49">
        <v>17</v>
      </c>
      <c r="O9" s="49">
        <v>0</v>
      </c>
      <c r="P9" s="50">
        <v>0</v>
      </c>
      <c r="Q9" s="50">
        <v>0</v>
      </c>
      <c r="R9" s="49">
        <v>1</v>
      </c>
      <c r="S9" s="49">
        <v>0</v>
      </c>
      <c r="T9" s="49">
        <v>13</v>
      </c>
      <c r="U9" s="49">
        <v>17</v>
      </c>
      <c r="V9" s="49">
        <v>5</v>
      </c>
      <c r="W9" s="50">
        <v>2.284024</v>
      </c>
      <c r="X9" s="50">
        <v>0.10897435897435898</v>
      </c>
      <c r="Y9" s="49">
        <v>0</v>
      </c>
      <c r="Z9" s="50">
        <v>0</v>
      </c>
      <c r="AA9" s="49">
        <v>0</v>
      </c>
      <c r="AB9" s="50">
        <v>0</v>
      </c>
      <c r="AC9" s="49">
        <v>0</v>
      </c>
      <c r="AD9" s="50">
        <v>0</v>
      </c>
      <c r="AE9" s="49">
        <v>155</v>
      </c>
      <c r="AF9" s="50">
        <v>100</v>
      </c>
      <c r="AG9" s="49">
        <v>155</v>
      </c>
      <c r="AH9" s="89"/>
      <c r="AI9" s="89"/>
      <c r="AJ9" s="89"/>
      <c r="AK9" s="102" t="s">
        <v>5301</v>
      </c>
      <c r="AL9" s="102" t="s">
        <v>5410</v>
      </c>
      <c r="AM9" s="102" t="s">
        <v>5448</v>
      </c>
      <c r="AN9" s="102" t="s">
        <v>5460</v>
      </c>
      <c r="AO9" s="102" t="s">
        <v>5484</v>
      </c>
    </row>
    <row r="10" spans="1:41" ht="14.25" customHeight="1">
      <c r="A10" s="65" t="s">
        <v>2614</v>
      </c>
      <c r="B10" s="66" t="s">
        <v>2642</v>
      </c>
      <c r="C10" s="66" t="s">
        <v>56</v>
      </c>
      <c r="D10" s="114"/>
      <c r="E10" s="14" t="s">
        <v>65</v>
      </c>
      <c r="F10" s="15" t="s">
        <v>2614</v>
      </c>
      <c r="G10" s="64"/>
      <c r="H10" s="64"/>
      <c r="I10" s="115">
        <v>10</v>
      </c>
      <c r="J10" s="78"/>
      <c r="K10" s="49">
        <v>13</v>
      </c>
      <c r="L10" s="49">
        <v>12</v>
      </c>
      <c r="M10" s="49">
        <v>6</v>
      </c>
      <c r="N10" s="49">
        <v>18</v>
      </c>
      <c r="O10" s="49">
        <v>1</v>
      </c>
      <c r="P10" s="50">
        <v>0</v>
      </c>
      <c r="Q10" s="50">
        <v>0</v>
      </c>
      <c r="R10" s="49">
        <v>1</v>
      </c>
      <c r="S10" s="49">
        <v>0</v>
      </c>
      <c r="T10" s="49">
        <v>13</v>
      </c>
      <c r="U10" s="49">
        <v>18</v>
      </c>
      <c r="V10" s="49">
        <v>3</v>
      </c>
      <c r="W10" s="50">
        <v>1.775148</v>
      </c>
      <c r="X10" s="50">
        <v>0.08974358974358974</v>
      </c>
      <c r="Y10" s="49">
        <v>0</v>
      </c>
      <c r="Z10" s="50">
        <v>0</v>
      </c>
      <c r="AA10" s="49">
        <v>0</v>
      </c>
      <c r="AB10" s="50">
        <v>0</v>
      </c>
      <c r="AC10" s="49">
        <v>0</v>
      </c>
      <c r="AD10" s="50">
        <v>0</v>
      </c>
      <c r="AE10" s="49">
        <v>135</v>
      </c>
      <c r="AF10" s="50">
        <v>100</v>
      </c>
      <c r="AG10" s="49">
        <v>135</v>
      </c>
      <c r="AH10" s="89" t="s">
        <v>5240</v>
      </c>
      <c r="AI10" s="89" t="s">
        <v>5264</v>
      </c>
      <c r="AJ10" s="89"/>
      <c r="AK10" s="102" t="s">
        <v>5302</v>
      </c>
      <c r="AL10" s="102" t="s">
        <v>5411</v>
      </c>
      <c r="AM10" s="102" t="s">
        <v>5449</v>
      </c>
      <c r="AN10" s="102" t="s">
        <v>5461</v>
      </c>
      <c r="AO10" s="102" t="s">
        <v>5485</v>
      </c>
    </row>
    <row r="11" spans="1:41" ht="15">
      <c r="A11" s="65" t="s">
        <v>2615</v>
      </c>
      <c r="B11" s="66" t="s">
        <v>2643</v>
      </c>
      <c r="C11" s="66" t="s">
        <v>56</v>
      </c>
      <c r="D11" s="114"/>
      <c r="E11" s="14" t="s">
        <v>65</v>
      </c>
      <c r="F11" s="15" t="s">
        <v>5845</v>
      </c>
      <c r="G11" s="64"/>
      <c r="H11" s="64"/>
      <c r="I11" s="115">
        <v>11</v>
      </c>
      <c r="J11" s="78"/>
      <c r="K11" s="49">
        <v>8</v>
      </c>
      <c r="L11" s="49">
        <v>0</v>
      </c>
      <c r="M11" s="49">
        <v>26</v>
      </c>
      <c r="N11" s="49">
        <v>26</v>
      </c>
      <c r="O11" s="49">
        <v>0</v>
      </c>
      <c r="P11" s="50">
        <v>0.08333333333333333</v>
      </c>
      <c r="Q11" s="50">
        <v>0.15384615384615385</v>
      </c>
      <c r="R11" s="49">
        <v>1</v>
      </c>
      <c r="S11" s="49">
        <v>0</v>
      </c>
      <c r="T11" s="49">
        <v>8</v>
      </c>
      <c r="U11" s="49">
        <v>26</v>
      </c>
      <c r="V11" s="49">
        <v>3</v>
      </c>
      <c r="W11" s="50">
        <v>1.5</v>
      </c>
      <c r="X11" s="50">
        <v>0.23214285714285715</v>
      </c>
      <c r="Y11" s="49">
        <v>1</v>
      </c>
      <c r="Z11" s="50">
        <v>0.5235602094240838</v>
      </c>
      <c r="AA11" s="49">
        <v>0</v>
      </c>
      <c r="AB11" s="50">
        <v>0</v>
      </c>
      <c r="AC11" s="49">
        <v>0</v>
      </c>
      <c r="AD11" s="50">
        <v>0</v>
      </c>
      <c r="AE11" s="49">
        <v>190</v>
      </c>
      <c r="AF11" s="50">
        <v>99.47643979057591</v>
      </c>
      <c r="AG11" s="49">
        <v>191</v>
      </c>
      <c r="AH11" s="89"/>
      <c r="AI11" s="89"/>
      <c r="AJ11" s="89" t="s">
        <v>712</v>
      </c>
      <c r="AK11" s="102" t="s">
        <v>5303</v>
      </c>
      <c r="AL11" s="102" t="s">
        <v>5412</v>
      </c>
      <c r="AM11" s="102" t="s">
        <v>5450</v>
      </c>
      <c r="AN11" s="102" t="s">
        <v>5462</v>
      </c>
      <c r="AO11" s="102" t="s">
        <v>5486</v>
      </c>
    </row>
    <row r="12" spans="1:41" ht="15">
      <c r="A12" s="65" t="s">
        <v>2616</v>
      </c>
      <c r="B12" s="66" t="s">
        <v>2644</v>
      </c>
      <c r="C12" s="66" t="s">
        <v>56</v>
      </c>
      <c r="D12" s="114"/>
      <c r="E12" s="14" t="s">
        <v>65</v>
      </c>
      <c r="F12" s="15" t="s">
        <v>2616</v>
      </c>
      <c r="G12" s="64"/>
      <c r="H12" s="64"/>
      <c r="I12" s="115">
        <v>12</v>
      </c>
      <c r="J12" s="78"/>
      <c r="K12" s="49">
        <v>6</v>
      </c>
      <c r="L12" s="49">
        <v>8</v>
      </c>
      <c r="M12" s="49">
        <v>0</v>
      </c>
      <c r="N12" s="49">
        <v>8</v>
      </c>
      <c r="O12" s="49">
        <v>0</v>
      </c>
      <c r="P12" s="50">
        <v>0.14285714285714285</v>
      </c>
      <c r="Q12" s="50">
        <v>0.25</v>
      </c>
      <c r="R12" s="49">
        <v>1</v>
      </c>
      <c r="S12" s="49">
        <v>0</v>
      </c>
      <c r="T12" s="49">
        <v>6</v>
      </c>
      <c r="U12" s="49">
        <v>8</v>
      </c>
      <c r="V12" s="49">
        <v>3</v>
      </c>
      <c r="W12" s="50">
        <v>1.444444</v>
      </c>
      <c r="X12" s="50">
        <v>0.26666666666666666</v>
      </c>
      <c r="Y12" s="49">
        <v>0</v>
      </c>
      <c r="Z12" s="50">
        <v>0</v>
      </c>
      <c r="AA12" s="49">
        <v>0</v>
      </c>
      <c r="AB12" s="50">
        <v>0</v>
      </c>
      <c r="AC12" s="49">
        <v>0</v>
      </c>
      <c r="AD12" s="50">
        <v>0</v>
      </c>
      <c r="AE12" s="49">
        <v>186</v>
      </c>
      <c r="AF12" s="50">
        <v>100</v>
      </c>
      <c r="AG12" s="49">
        <v>186</v>
      </c>
      <c r="AH12" s="89" t="s">
        <v>688</v>
      </c>
      <c r="AI12" s="89" t="s">
        <v>5246</v>
      </c>
      <c r="AJ12" s="89"/>
      <c r="AK12" s="102" t="s">
        <v>5304</v>
      </c>
      <c r="AL12" s="102" t="s">
        <v>5413</v>
      </c>
      <c r="AM12" s="102" t="s">
        <v>5451</v>
      </c>
      <c r="AN12" s="102" t="s">
        <v>386</v>
      </c>
      <c r="AO12" s="102" t="s">
        <v>5487</v>
      </c>
    </row>
    <row r="13" spans="1:41" ht="15">
      <c r="A13" s="65" t="s">
        <v>2617</v>
      </c>
      <c r="B13" s="66" t="s">
        <v>2645</v>
      </c>
      <c r="C13" s="66" t="s">
        <v>56</v>
      </c>
      <c r="D13" s="114"/>
      <c r="E13" s="14" t="s">
        <v>65</v>
      </c>
      <c r="F13" s="15" t="s">
        <v>2617</v>
      </c>
      <c r="G13" s="64"/>
      <c r="H13" s="64"/>
      <c r="I13" s="115">
        <v>13</v>
      </c>
      <c r="J13" s="78"/>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14</v>
      </c>
      <c r="AF13" s="50">
        <v>100</v>
      </c>
      <c r="AG13" s="49">
        <v>14</v>
      </c>
      <c r="AH13" s="89" t="s">
        <v>5241</v>
      </c>
      <c r="AI13" s="89" t="s">
        <v>702</v>
      </c>
      <c r="AJ13" s="89"/>
      <c r="AK13" s="102" t="s">
        <v>1338</v>
      </c>
      <c r="AL13" s="102" t="s">
        <v>1338</v>
      </c>
      <c r="AM13" s="102" t="s">
        <v>475</v>
      </c>
      <c r="AN13" s="102" t="s">
        <v>5463</v>
      </c>
      <c r="AO13" s="102" t="s">
        <v>5488</v>
      </c>
    </row>
    <row r="14" spans="1:41" ht="15">
      <c r="A14" s="65" t="s">
        <v>2618</v>
      </c>
      <c r="B14" s="66" t="s">
        <v>2646</v>
      </c>
      <c r="C14" s="66" t="s">
        <v>56</v>
      </c>
      <c r="D14" s="114"/>
      <c r="E14" s="14" t="s">
        <v>65</v>
      </c>
      <c r="F14" s="15" t="s">
        <v>2618</v>
      </c>
      <c r="G14" s="64"/>
      <c r="H14" s="64"/>
      <c r="I14" s="115">
        <v>14</v>
      </c>
      <c r="J14" s="78"/>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80</v>
      </c>
      <c r="AF14" s="50">
        <v>100</v>
      </c>
      <c r="AG14" s="49">
        <v>80</v>
      </c>
      <c r="AH14" s="89" t="s">
        <v>5242</v>
      </c>
      <c r="AI14" s="89" t="s">
        <v>693</v>
      </c>
      <c r="AJ14" s="89"/>
      <c r="AK14" s="102" t="s">
        <v>5305</v>
      </c>
      <c r="AL14" s="102" t="s">
        <v>5414</v>
      </c>
      <c r="AM14" s="102" t="s">
        <v>400</v>
      </c>
      <c r="AN14" s="102"/>
      <c r="AO14" s="102" t="s">
        <v>5489</v>
      </c>
    </row>
    <row r="15" spans="1:41" ht="15">
      <c r="A15" s="65" t="s">
        <v>2619</v>
      </c>
      <c r="B15" s="66" t="s">
        <v>2635</v>
      </c>
      <c r="C15" s="66" t="s">
        <v>59</v>
      </c>
      <c r="D15" s="114"/>
      <c r="E15" s="14" t="s">
        <v>65</v>
      </c>
      <c r="F15" s="15" t="s">
        <v>2619</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37</v>
      </c>
      <c r="AF15" s="50">
        <v>100</v>
      </c>
      <c r="AG15" s="49">
        <v>37</v>
      </c>
      <c r="AH15" s="89"/>
      <c r="AI15" s="89"/>
      <c r="AJ15" s="89"/>
      <c r="AK15" s="102" t="s">
        <v>1338</v>
      </c>
      <c r="AL15" s="102" t="s">
        <v>1338</v>
      </c>
      <c r="AM15" s="102" t="s">
        <v>487</v>
      </c>
      <c r="AN15" s="102" t="s">
        <v>5464</v>
      </c>
      <c r="AO15" s="102" t="s">
        <v>5490</v>
      </c>
    </row>
    <row r="16" spans="1:41" ht="15">
      <c r="A16" s="65" t="s">
        <v>2620</v>
      </c>
      <c r="B16" s="66" t="s">
        <v>2636</v>
      </c>
      <c r="C16" s="66" t="s">
        <v>59</v>
      </c>
      <c r="D16" s="114"/>
      <c r="E16" s="14" t="s">
        <v>65</v>
      </c>
      <c r="F16" s="15" t="s">
        <v>2620</v>
      </c>
      <c r="G16" s="64"/>
      <c r="H16" s="64"/>
      <c r="I16" s="115">
        <v>16</v>
      </c>
      <c r="J16" s="78"/>
      <c r="K16" s="49">
        <v>4</v>
      </c>
      <c r="L16" s="49">
        <v>4</v>
      </c>
      <c r="M16" s="49">
        <v>0</v>
      </c>
      <c r="N16" s="49">
        <v>4</v>
      </c>
      <c r="O16" s="49">
        <v>1</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57</v>
      </c>
      <c r="AF16" s="50">
        <v>100</v>
      </c>
      <c r="AG16" s="49">
        <v>57</v>
      </c>
      <c r="AH16" s="89"/>
      <c r="AI16" s="89"/>
      <c r="AJ16" s="89"/>
      <c r="AK16" s="102" t="s">
        <v>5306</v>
      </c>
      <c r="AL16" s="102" t="s">
        <v>5415</v>
      </c>
      <c r="AM16" s="102" t="s">
        <v>395</v>
      </c>
      <c r="AN16" s="102" t="s">
        <v>394</v>
      </c>
      <c r="AO16" s="102" t="s">
        <v>5491</v>
      </c>
    </row>
    <row r="17" spans="1:41" ht="15">
      <c r="A17" s="65" t="s">
        <v>2621</v>
      </c>
      <c r="B17" s="66" t="s">
        <v>2637</v>
      </c>
      <c r="C17" s="66" t="s">
        <v>59</v>
      </c>
      <c r="D17" s="114"/>
      <c r="E17" s="14" t="s">
        <v>65</v>
      </c>
      <c r="F17" s="15" t="s">
        <v>2621</v>
      </c>
      <c r="G17" s="64"/>
      <c r="H17" s="64"/>
      <c r="I17" s="115">
        <v>17</v>
      </c>
      <c r="J17" s="78"/>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8</v>
      </c>
      <c r="AF17" s="50">
        <v>100</v>
      </c>
      <c r="AG17" s="49">
        <v>8</v>
      </c>
      <c r="AH17" s="89"/>
      <c r="AI17" s="89"/>
      <c r="AJ17" s="89"/>
      <c r="AK17" s="102" t="s">
        <v>1338</v>
      </c>
      <c r="AL17" s="102" t="s">
        <v>1338</v>
      </c>
      <c r="AM17" s="102" t="s">
        <v>382</v>
      </c>
      <c r="AN17" s="102" t="s">
        <v>5465</v>
      </c>
      <c r="AO17" s="102" t="s">
        <v>5492</v>
      </c>
    </row>
    <row r="18" spans="1:41" ht="15">
      <c r="A18" s="65" t="s">
        <v>2622</v>
      </c>
      <c r="B18" s="66" t="s">
        <v>2638</v>
      </c>
      <c r="C18" s="66" t="s">
        <v>59</v>
      </c>
      <c r="D18" s="114"/>
      <c r="E18" s="14" t="s">
        <v>66</v>
      </c>
      <c r="F18" s="15" t="s">
        <v>2622</v>
      </c>
      <c r="G18" s="64">
        <v>9679.8828125</v>
      </c>
      <c r="H18" s="64">
        <v>444.9203796386719</v>
      </c>
      <c r="I18" s="115">
        <v>18</v>
      </c>
      <c r="J18" s="78"/>
      <c r="K18" s="49">
        <v>4</v>
      </c>
      <c r="L18" s="49">
        <v>3</v>
      </c>
      <c r="M18" s="49">
        <v>2</v>
      </c>
      <c r="N18" s="49">
        <v>5</v>
      </c>
      <c r="O18" s="49">
        <v>5</v>
      </c>
      <c r="P18" s="50" t="s">
        <v>2650</v>
      </c>
      <c r="Q18" s="50" t="s">
        <v>2650</v>
      </c>
      <c r="R18" s="49">
        <v>4</v>
      </c>
      <c r="S18" s="49">
        <v>4</v>
      </c>
      <c r="T18" s="49">
        <v>1</v>
      </c>
      <c r="U18" s="49">
        <v>2</v>
      </c>
      <c r="V18" s="49">
        <v>0</v>
      </c>
      <c r="W18" s="50">
        <v>0</v>
      </c>
      <c r="X18" s="50">
        <v>0</v>
      </c>
      <c r="Y18" s="49">
        <v>0</v>
      </c>
      <c r="Z18" s="50">
        <v>0</v>
      </c>
      <c r="AA18" s="49">
        <v>0</v>
      </c>
      <c r="AB18" s="50">
        <v>0</v>
      </c>
      <c r="AC18" s="49">
        <v>0</v>
      </c>
      <c r="AD18" s="50">
        <v>0</v>
      </c>
      <c r="AE18" s="49">
        <v>156</v>
      </c>
      <c r="AF18" s="50">
        <v>100</v>
      </c>
      <c r="AG18" s="49">
        <v>156</v>
      </c>
      <c r="AH18" s="89" t="s">
        <v>5243</v>
      </c>
      <c r="AI18" s="89" t="s">
        <v>5265</v>
      </c>
      <c r="AJ18" s="89"/>
      <c r="AK18" s="102" t="s">
        <v>5307</v>
      </c>
      <c r="AL18" s="102" t="s">
        <v>5416</v>
      </c>
      <c r="AM18" s="102" t="s">
        <v>2790</v>
      </c>
      <c r="AN18" s="102"/>
      <c r="AO18" s="102" t="s">
        <v>5493</v>
      </c>
    </row>
    <row r="19" spans="1:41" ht="15">
      <c r="A19" s="65" t="s">
        <v>2623</v>
      </c>
      <c r="B19" s="66" t="s">
        <v>2639</v>
      </c>
      <c r="C19" s="66" t="s">
        <v>59</v>
      </c>
      <c r="D19" s="114"/>
      <c r="E19" s="14" t="s">
        <v>65</v>
      </c>
      <c r="F19" s="15" t="s">
        <v>2623</v>
      </c>
      <c r="G19" s="64"/>
      <c r="H19" s="64"/>
      <c r="I19" s="115">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6</v>
      </c>
      <c r="AF19" s="50">
        <v>100</v>
      </c>
      <c r="AG19" s="49">
        <v>6</v>
      </c>
      <c r="AH19" s="89"/>
      <c r="AI19" s="89"/>
      <c r="AJ19" s="89"/>
      <c r="AK19" s="102" t="s">
        <v>1338</v>
      </c>
      <c r="AL19" s="102" t="s">
        <v>1338</v>
      </c>
      <c r="AM19" s="102" t="s">
        <v>508</v>
      </c>
      <c r="AN19" s="102" t="s">
        <v>507</v>
      </c>
      <c r="AO19" s="102" t="s">
        <v>5494</v>
      </c>
    </row>
    <row r="20" spans="1:41" ht="15">
      <c r="A20" s="65" t="s">
        <v>2624</v>
      </c>
      <c r="B20" s="66" t="s">
        <v>2640</v>
      </c>
      <c r="C20" s="66" t="s">
        <v>59</v>
      </c>
      <c r="D20" s="114"/>
      <c r="E20" s="14" t="s">
        <v>65</v>
      </c>
      <c r="F20" s="15" t="s">
        <v>2624</v>
      </c>
      <c r="G20" s="64"/>
      <c r="H20" s="64"/>
      <c r="I20" s="115">
        <v>20</v>
      </c>
      <c r="J20" s="78"/>
      <c r="K20" s="49">
        <v>3</v>
      </c>
      <c r="L20" s="49">
        <v>3</v>
      </c>
      <c r="M20" s="49">
        <v>0</v>
      </c>
      <c r="N20" s="49">
        <v>3</v>
      </c>
      <c r="O20" s="49">
        <v>0</v>
      </c>
      <c r="P20" s="50">
        <v>0</v>
      </c>
      <c r="Q20" s="50">
        <v>0</v>
      </c>
      <c r="R20" s="49">
        <v>1</v>
      </c>
      <c r="S20" s="49">
        <v>0</v>
      </c>
      <c r="T20" s="49">
        <v>3</v>
      </c>
      <c r="U20" s="49">
        <v>3</v>
      </c>
      <c r="V20" s="49">
        <v>1</v>
      </c>
      <c r="W20" s="50">
        <v>0.666667</v>
      </c>
      <c r="X20" s="50">
        <v>0.5</v>
      </c>
      <c r="Y20" s="49">
        <v>0</v>
      </c>
      <c r="Z20" s="50">
        <v>0</v>
      </c>
      <c r="AA20" s="49">
        <v>0</v>
      </c>
      <c r="AB20" s="50">
        <v>0</v>
      </c>
      <c r="AC20" s="49">
        <v>0</v>
      </c>
      <c r="AD20" s="50">
        <v>0</v>
      </c>
      <c r="AE20" s="49">
        <v>49</v>
      </c>
      <c r="AF20" s="50">
        <v>100</v>
      </c>
      <c r="AG20" s="49">
        <v>49</v>
      </c>
      <c r="AH20" s="89"/>
      <c r="AI20" s="89"/>
      <c r="AJ20" s="89"/>
      <c r="AK20" s="102" t="s">
        <v>5308</v>
      </c>
      <c r="AL20" s="102" t="s">
        <v>1338</v>
      </c>
      <c r="AM20" s="102" t="s">
        <v>5452</v>
      </c>
      <c r="AN20" s="102" t="s">
        <v>461</v>
      </c>
      <c r="AO20" s="102" t="s">
        <v>5495</v>
      </c>
    </row>
    <row r="21" spans="1:41" ht="15">
      <c r="A21" s="65" t="s">
        <v>2625</v>
      </c>
      <c r="B21" s="66" t="s">
        <v>2641</v>
      </c>
      <c r="C21" s="66" t="s">
        <v>59</v>
      </c>
      <c r="D21" s="114"/>
      <c r="E21" s="14" t="s">
        <v>65</v>
      </c>
      <c r="F21" s="15" t="s">
        <v>2625</v>
      </c>
      <c r="G21" s="64"/>
      <c r="H21" s="64"/>
      <c r="I21" s="115">
        <v>21</v>
      </c>
      <c r="J21" s="78"/>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16</v>
      </c>
      <c r="AF21" s="50">
        <v>100</v>
      </c>
      <c r="AG21" s="49">
        <v>16</v>
      </c>
      <c r="AH21" s="89"/>
      <c r="AI21" s="89"/>
      <c r="AJ21" s="89"/>
      <c r="AK21" s="102" t="s">
        <v>1338</v>
      </c>
      <c r="AL21" s="102" t="s">
        <v>1338</v>
      </c>
      <c r="AM21" s="102" t="s">
        <v>411</v>
      </c>
      <c r="AN21" s="102" t="s">
        <v>410</v>
      </c>
      <c r="AO21" s="102" t="s">
        <v>5496</v>
      </c>
    </row>
    <row r="22" spans="1:41" ht="15">
      <c r="A22" s="65" t="s">
        <v>2626</v>
      </c>
      <c r="B22" s="66" t="s">
        <v>2642</v>
      </c>
      <c r="C22" s="66" t="s">
        <v>59</v>
      </c>
      <c r="D22" s="114"/>
      <c r="E22" s="14" t="s">
        <v>65</v>
      </c>
      <c r="F22" s="15" t="s">
        <v>2626</v>
      </c>
      <c r="G22" s="64"/>
      <c r="H22" s="64"/>
      <c r="I22" s="115">
        <v>22</v>
      </c>
      <c r="J22" s="78"/>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30</v>
      </c>
      <c r="AF22" s="50">
        <v>100</v>
      </c>
      <c r="AG22" s="49">
        <v>30</v>
      </c>
      <c r="AH22" s="89" t="s">
        <v>5244</v>
      </c>
      <c r="AI22" s="89" t="s">
        <v>693</v>
      </c>
      <c r="AJ22" s="89"/>
      <c r="AK22" s="102" t="s">
        <v>5309</v>
      </c>
      <c r="AL22" s="102" t="s">
        <v>5417</v>
      </c>
      <c r="AM22" s="102" t="s">
        <v>408</v>
      </c>
      <c r="AN22" s="102" t="s">
        <v>407</v>
      </c>
      <c r="AO22" s="102" t="s">
        <v>5497</v>
      </c>
    </row>
    <row r="23" spans="1:41" ht="15">
      <c r="A23" s="65" t="s">
        <v>2627</v>
      </c>
      <c r="B23" s="66" t="s">
        <v>2643</v>
      </c>
      <c r="C23" s="66" t="s">
        <v>59</v>
      </c>
      <c r="D23" s="114"/>
      <c r="E23" s="14" t="s">
        <v>65</v>
      </c>
      <c r="F23" s="15" t="s">
        <v>2627</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37</v>
      </c>
      <c r="AF23" s="50">
        <v>100</v>
      </c>
      <c r="AG23" s="49">
        <v>37</v>
      </c>
      <c r="AH23" s="89"/>
      <c r="AI23" s="89"/>
      <c r="AJ23" s="89"/>
      <c r="AK23" s="102" t="s">
        <v>2811</v>
      </c>
      <c r="AL23" s="102" t="s">
        <v>1338</v>
      </c>
      <c r="AM23" s="102" t="s">
        <v>521</v>
      </c>
      <c r="AN23" s="102"/>
      <c r="AO23" s="102" t="s">
        <v>5498</v>
      </c>
    </row>
    <row r="24" spans="1:41" ht="15">
      <c r="A24" s="65" t="s">
        <v>2628</v>
      </c>
      <c r="B24" s="66" t="s">
        <v>2644</v>
      </c>
      <c r="C24" s="66" t="s">
        <v>59</v>
      </c>
      <c r="D24" s="114"/>
      <c r="E24" s="14" t="s">
        <v>65</v>
      </c>
      <c r="F24" s="15" t="s">
        <v>2628</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17</v>
      </c>
      <c r="AF24" s="50">
        <v>100</v>
      </c>
      <c r="AG24" s="49">
        <v>17</v>
      </c>
      <c r="AH24" s="89"/>
      <c r="AI24" s="89"/>
      <c r="AJ24" s="89"/>
      <c r="AK24" s="102" t="s">
        <v>1338</v>
      </c>
      <c r="AL24" s="102" t="s">
        <v>1338</v>
      </c>
      <c r="AM24" s="102" t="s">
        <v>484</v>
      </c>
      <c r="AN24" s="102"/>
      <c r="AO24" s="102" t="s">
        <v>5499</v>
      </c>
    </row>
    <row r="25" spans="1:41" ht="15">
      <c r="A25" s="65" t="s">
        <v>2629</v>
      </c>
      <c r="B25" s="66" t="s">
        <v>2645</v>
      </c>
      <c r="C25" s="66" t="s">
        <v>59</v>
      </c>
      <c r="D25" s="114"/>
      <c r="E25" s="14" t="s">
        <v>65</v>
      </c>
      <c r="F25" s="15" t="s">
        <v>2629</v>
      </c>
      <c r="G25" s="64"/>
      <c r="H25" s="64"/>
      <c r="I25" s="115">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38</v>
      </c>
      <c r="AF25" s="50">
        <v>100</v>
      </c>
      <c r="AG25" s="49">
        <v>38</v>
      </c>
      <c r="AH25" s="89"/>
      <c r="AI25" s="89"/>
      <c r="AJ25" s="89"/>
      <c r="AK25" s="102" t="s">
        <v>1338</v>
      </c>
      <c r="AL25" s="102" t="s">
        <v>1338</v>
      </c>
      <c r="AM25" s="102" t="s">
        <v>471</v>
      </c>
      <c r="AN25" s="102"/>
      <c r="AO25" s="102" t="s">
        <v>5500</v>
      </c>
    </row>
    <row r="26" spans="1:41" ht="15">
      <c r="A26" s="65" t="s">
        <v>2630</v>
      </c>
      <c r="B26" s="66" t="s">
        <v>2646</v>
      </c>
      <c r="C26" s="66" t="s">
        <v>59</v>
      </c>
      <c r="D26" s="114"/>
      <c r="E26" s="14" t="s">
        <v>65</v>
      </c>
      <c r="F26" s="15" t="s">
        <v>2630</v>
      </c>
      <c r="G26" s="64"/>
      <c r="H26" s="64"/>
      <c r="I26" s="115">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6</v>
      </c>
      <c r="AF26" s="50">
        <v>100</v>
      </c>
      <c r="AG26" s="49">
        <v>6</v>
      </c>
      <c r="AH26" s="89"/>
      <c r="AI26" s="89"/>
      <c r="AJ26" s="89"/>
      <c r="AK26" s="102" t="s">
        <v>1338</v>
      </c>
      <c r="AL26" s="102" t="s">
        <v>1338</v>
      </c>
      <c r="AM26" s="102" t="s">
        <v>469</v>
      </c>
      <c r="AN26" s="102"/>
      <c r="AO26" s="102" t="s">
        <v>5501</v>
      </c>
    </row>
    <row r="27" spans="1:41" ht="15">
      <c r="A27" s="65" t="s">
        <v>2631</v>
      </c>
      <c r="B27" s="66" t="s">
        <v>2635</v>
      </c>
      <c r="C27" s="66" t="s">
        <v>61</v>
      </c>
      <c r="D27" s="114"/>
      <c r="E27" s="14" t="s">
        <v>65</v>
      </c>
      <c r="F27" s="15" t="s">
        <v>2631</v>
      </c>
      <c r="G27" s="64"/>
      <c r="H27" s="64"/>
      <c r="I27" s="115">
        <v>27</v>
      </c>
      <c r="J27" s="78"/>
      <c r="K27" s="49">
        <v>2</v>
      </c>
      <c r="L27" s="49">
        <v>0</v>
      </c>
      <c r="M27" s="49">
        <v>2</v>
      </c>
      <c r="N27" s="49">
        <v>2</v>
      </c>
      <c r="O27" s="49">
        <v>0</v>
      </c>
      <c r="P27" s="50">
        <v>0</v>
      </c>
      <c r="Q27" s="50">
        <v>0</v>
      </c>
      <c r="R27" s="49">
        <v>1</v>
      </c>
      <c r="S27" s="49">
        <v>0</v>
      </c>
      <c r="T27" s="49">
        <v>2</v>
      </c>
      <c r="U27" s="49">
        <v>2</v>
      </c>
      <c r="V27" s="49">
        <v>1</v>
      </c>
      <c r="W27" s="50">
        <v>0.5</v>
      </c>
      <c r="X27" s="50">
        <v>0.5</v>
      </c>
      <c r="Y27" s="49">
        <v>0</v>
      </c>
      <c r="Z27" s="50">
        <v>0</v>
      </c>
      <c r="AA27" s="49">
        <v>0</v>
      </c>
      <c r="AB27" s="50">
        <v>0</v>
      </c>
      <c r="AC27" s="49">
        <v>0</v>
      </c>
      <c r="AD27" s="50">
        <v>0</v>
      </c>
      <c r="AE27" s="49">
        <v>54</v>
      </c>
      <c r="AF27" s="50">
        <v>100</v>
      </c>
      <c r="AG27" s="49">
        <v>54</v>
      </c>
      <c r="AH27" s="89"/>
      <c r="AI27" s="89"/>
      <c r="AJ27" s="89"/>
      <c r="AK27" s="102" t="s">
        <v>5310</v>
      </c>
      <c r="AL27" s="102" t="s">
        <v>1338</v>
      </c>
      <c r="AM27" s="102" t="s">
        <v>412</v>
      </c>
      <c r="AN27" s="102"/>
      <c r="AO27" s="102" t="s">
        <v>5502</v>
      </c>
    </row>
    <row r="28" spans="1:41" ht="15">
      <c r="A28" s="65" t="s">
        <v>2632</v>
      </c>
      <c r="B28" s="66" t="s">
        <v>2636</v>
      </c>
      <c r="C28" s="66" t="s">
        <v>61</v>
      </c>
      <c r="D28" s="114"/>
      <c r="E28" s="14" t="s">
        <v>65</v>
      </c>
      <c r="F28" s="15" t="s">
        <v>2632</v>
      </c>
      <c r="G28" s="64"/>
      <c r="H28" s="64"/>
      <c r="I28" s="115">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28</v>
      </c>
      <c r="AF28" s="50">
        <v>100</v>
      </c>
      <c r="AG28" s="49">
        <v>28</v>
      </c>
      <c r="AH28" s="89"/>
      <c r="AI28" s="89"/>
      <c r="AJ28" s="89"/>
      <c r="AK28" s="102" t="s">
        <v>1338</v>
      </c>
      <c r="AL28" s="102" t="s">
        <v>1338</v>
      </c>
      <c r="AM28" s="102" t="s">
        <v>401</v>
      </c>
      <c r="AN28" s="102"/>
      <c r="AO28" s="102" t="s">
        <v>5503</v>
      </c>
    </row>
    <row r="29" spans="1:41" ht="15">
      <c r="A29" s="65" t="s">
        <v>2633</v>
      </c>
      <c r="B29" s="66" t="s">
        <v>2637</v>
      </c>
      <c r="C29" s="66" t="s">
        <v>61</v>
      </c>
      <c r="D29" s="114"/>
      <c r="E29" s="14" t="s">
        <v>65</v>
      </c>
      <c r="F29" s="15" t="s">
        <v>2633</v>
      </c>
      <c r="G29" s="64"/>
      <c r="H29" s="64"/>
      <c r="I29" s="115">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43</v>
      </c>
      <c r="AF29" s="50">
        <v>100</v>
      </c>
      <c r="AG29" s="49">
        <v>43</v>
      </c>
      <c r="AH29" s="89"/>
      <c r="AI29" s="89"/>
      <c r="AJ29" s="89"/>
      <c r="AK29" s="102" t="s">
        <v>1338</v>
      </c>
      <c r="AL29" s="102" t="s">
        <v>1338</v>
      </c>
      <c r="AM29" s="102" t="s">
        <v>392</v>
      </c>
      <c r="AN29" s="102"/>
      <c r="AO29" s="102" t="s">
        <v>5504</v>
      </c>
    </row>
    <row r="30" spans="1:41" ht="15">
      <c r="A30" s="65" t="s">
        <v>2634</v>
      </c>
      <c r="B30" s="66" t="s">
        <v>2638</v>
      </c>
      <c r="C30" s="66" t="s">
        <v>61</v>
      </c>
      <c r="D30" s="114"/>
      <c r="E30" s="14" t="s">
        <v>65</v>
      </c>
      <c r="F30" s="15" t="s">
        <v>5846</v>
      </c>
      <c r="G30" s="64"/>
      <c r="H30" s="64"/>
      <c r="I30" s="115">
        <v>30</v>
      </c>
      <c r="J30" s="78"/>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68</v>
      </c>
      <c r="AF30" s="50">
        <v>100</v>
      </c>
      <c r="AG30" s="49">
        <v>68</v>
      </c>
      <c r="AH30" s="89"/>
      <c r="AI30" s="89"/>
      <c r="AJ30" s="89" t="s">
        <v>711</v>
      </c>
      <c r="AK30" s="102" t="s">
        <v>5311</v>
      </c>
      <c r="AL30" s="102" t="s">
        <v>5418</v>
      </c>
      <c r="AM30" s="102"/>
      <c r="AN30" s="102"/>
      <c r="AO30" s="102" t="s">
        <v>5505</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2607</v>
      </c>
      <c r="B2" s="102" t="s">
        <v>374</v>
      </c>
      <c r="C2" s="89">
        <f>VLOOKUP(GroupVertices[[#This Row],[Vertex]],Vertices[],MATCH("ID",Vertices[[#Headers],[Vertex]:[Top Word Pairs in Tweet by Salience]],0),FALSE)</f>
        <v>43</v>
      </c>
    </row>
    <row r="3" spans="1:3" ht="15">
      <c r="A3" s="90" t="s">
        <v>2607</v>
      </c>
      <c r="B3" s="102" t="s">
        <v>516</v>
      </c>
      <c r="C3" s="89">
        <f>VLOOKUP(GroupVertices[[#This Row],[Vertex]],Vertices[],MATCH("ID",Vertices[[#Headers],[Vertex]:[Top Word Pairs in Tweet by Salience]],0),FALSE)</f>
        <v>291</v>
      </c>
    </row>
    <row r="4" spans="1:3" ht="15">
      <c r="A4" s="90" t="s">
        <v>2607</v>
      </c>
      <c r="B4" s="102" t="s">
        <v>515</v>
      </c>
      <c r="C4" s="89">
        <f>VLOOKUP(GroupVertices[[#This Row],[Vertex]],Vertices[],MATCH("ID",Vertices[[#Headers],[Vertex]:[Top Word Pairs in Tweet by Salience]],0),FALSE)</f>
        <v>290</v>
      </c>
    </row>
    <row r="5" spans="1:3" ht="15">
      <c r="A5" s="90" t="s">
        <v>2607</v>
      </c>
      <c r="B5" s="102" t="s">
        <v>514</v>
      </c>
      <c r="C5" s="89">
        <f>VLOOKUP(GroupVertices[[#This Row],[Vertex]],Vertices[],MATCH("ID",Vertices[[#Headers],[Vertex]:[Top Word Pairs in Tweet by Salience]],0),FALSE)</f>
        <v>289</v>
      </c>
    </row>
    <row r="6" spans="1:3" ht="15">
      <c r="A6" s="90" t="s">
        <v>2607</v>
      </c>
      <c r="B6" s="102" t="s">
        <v>513</v>
      </c>
      <c r="C6" s="89">
        <f>VLOOKUP(GroupVertices[[#This Row],[Vertex]],Vertices[],MATCH("ID",Vertices[[#Headers],[Vertex]:[Top Word Pairs in Tweet by Salience]],0),FALSE)</f>
        <v>288</v>
      </c>
    </row>
    <row r="7" spans="1:3" ht="15">
      <c r="A7" s="90" t="s">
        <v>2607</v>
      </c>
      <c r="B7" s="102" t="s">
        <v>512</v>
      </c>
      <c r="C7" s="89">
        <f>VLOOKUP(GroupVertices[[#This Row],[Vertex]],Vertices[],MATCH("ID",Vertices[[#Headers],[Vertex]:[Top Word Pairs in Tweet by Salience]],0),FALSE)</f>
        <v>287</v>
      </c>
    </row>
    <row r="8" spans="1:3" ht="15">
      <c r="A8" s="90" t="s">
        <v>2607</v>
      </c>
      <c r="B8" s="102" t="s">
        <v>371</v>
      </c>
      <c r="C8" s="89">
        <f>VLOOKUP(GroupVertices[[#This Row],[Vertex]],Vertices[],MATCH("ID",Vertices[[#Headers],[Vertex]:[Top Word Pairs in Tweet by Salience]],0),FALSE)</f>
        <v>282</v>
      </c>
    </row>
    <row r="9" spans="1:3" ht="15">
      <c r="A9" s="90" t="s">
        <v>2607</v>
      </c>
      <c r="B9" s="102" t="s">
        <v>509</v>
      </c>
      <c r="C9" s="89">
        <f>VLOOKUP(GroupVertices[[#This Row],[Vertex]],Vertices[],MATCH("ID",Vertices[[#Headers],[Vertex]:[Top Word Pairs in Tweet by Salience]],0),FALSE)</f>
        <v>283</v>
      </c>
    </row>
    <row r="10" spans="1:3" ht="15">
      <c r="A10" s="90" t="s">
        <v>2607</v>
      </c>
      <c r="B10" s="102" t="s">
        <v>362</v>
      </c>
      <c r="C10" s="89">
        <f>VLOOKUP(GroupVertices[[#This Row],[Vertex]],Vertices[],MATCH("ID",Vertices[[#Headers],[Vertex]:[Top Word Pairs in Tweet by Salience]],0),FALSE)</f>
        <v>270</v>
      </c>
    </row>
    <row r="11" spans="1:3" ht="15">
      <c r="A11" s="90" t="s">
        <v>2607</v>
      </c>
      <c r="B11" s="102" t="s">
        <v>358</v>
      </c>
      <c r="C11" s="89">
        <f>VLOOKUP(GroupVertices[[#This Row],[Vertex]],Vertices[],MATCH("ID",Vertices[[#Headers],[Vertex]:[Top Word Pairs in Tweet by Salience]],0),FALSE)</f>
        <v>265</v>
      </c>
    </row>
    <row r="12" spans="1:3" ht="15">
      <c r="A12" s="90" t="s">
        <v>2607</v>
      </c>
      <c r="B12" s="102" t="s">
        <v>357</v>
      </c>
      <c r="C12" s="89">
        <f>VLOOKUP(GroupVertices[[#This Row],[Vertex]],Vertices[],MATCH("ID",Vertices[[#Headers],[Vertex]:[Top Word Pairs in Tweet by Salience]],0),FALSE)</f>
        <v>264</v>
      </c>
    </row>
    <row r="13" spans="1:3" ht="15">
      <c r="A13" s="90" t="s">
        <v>2607</v>
      </c>
      <c r="B13" s="102" t="s">
        <v>356</v>
      </c>
      <c r="C13" s="89">
        <f>VLOOKUP(GroupVertices[[#This Row],[Vertex]],Vertices[],MATCH("ID",Vertices[[#Headers],[Vertex]:[Top Word Pairs in Tweet by Salience]],0),FALSE)</f>
        <v>133</v>
      </c>
    </row>
    <row r="14" spans="1:3" ht="15">
      <c r="A14" s="90" t="s">
        <v>2607</v>
      </c>
      <c r="B14" s="102" t="s">
        <v>354</v>
      </c>
      <c r="C14" s="89">
        <f>VLOOKUP(GroupVertices[[#This Row],[Vertex]],Vertices[],MATCH("ID",Vertices[[#Headers],[Vertex]:[Top Word Pairs in Tweet by Salience]],0),FALSE)</f>
        <v>261</v>
      </c>
    </row>
    <row r="15" spans="1:3" ht="15">
      <c r="A15" s="90" t="s">
        <v>2607</v>
      </c>
      <c r="B15" s="102" t="s">
        <v>351</v>
      </c>
      <c r="C15" s="89">
        <f>VLOOKUP(GroupVertices[[#This Row],[Vertex]],Vertices[],MATCH("ID",Vertices[[#Headers],[Vertex]:[Top Word Pairs in Tweet by Salience]],0),FALSE)</f>
        <v>258</v>
      </c>
    </row>
    <row r="16" spans="1:3" ht="15">
      <c r="A16" s="90" t="s">
        <v>2607</v>
      </c>
      <c r="B16" s="102" t="s">
        <v>346</v>
      </c>
      <c r="C16" s="89">
        <f>VLOOKUP(GroupVertices[[#This Row],[Vertex]],Vertices[],MATCH("ID",Vertices[[#Headers],[Vertex]:[Top Word Pairs in Tweet by Salience]],0),FALSE)</f>
        <v>251</v>
      </c>
    </row>
    <row r="17" spans="1:3" ht="15">
      <c r="A17" s="90" t="s">
        <v>2607</v>
      </c>
      <c r="B17" s="102" t="s">
        <v>330</v>
      </c>
      <c r="C17" s="89">
        <f>VLOOKUP(GroupVertices[[#This Row],[Vertex]],Vertices[],MATCH("ID",Vertices[[#Headers],[Vertex]:[Top Word Pairs in Tweet by Salience]],0),FALSE)</f>
        <v>222</v>
      </c>
    </row>
    <row r="18" spans="1:3" ht="15">
      <c r="A18" s="90" t="s">
        <v>2607</v>
      </c>
      <c r="B18" s="102" t="s">
        <v>338</v>
      </c>
      <c r="C18" s="89">
        <f>VLOOKUP(GroupVertices[[#This Row],[Vertex]],Vertices[],MATCH("ID",Vertices[[#Headers],[Vertex]:[Top Word Pairs in Tweet by Salience]],0),FALSE)</f>
        <v>71</v>
      </c>
    </row>
    <row r="19" spans="1:3" ht="15">
      <c r="A19" s="90" t="s">
        <v>2607</v>
      </c>
      <c r="B19" s="102" t="s">
        <v>281</v>
      </c>
      <c r="C19" s="89">
        <f>VLOOKUP(GroupVertices[[#This Row],[Vertex]],Vertices[],MATCH("ID",Vertices[[#Headers],[Vertex]:[Top Word Pairs in Tweet by Salience]],0),FALSE)</f>
        <v>128</v>
      </c>
    </row>
    <row r="20" spans="1:3" ht="15">
      <c r="A20" s="90" t="s">
        <v>2607</v>
      </c>
      <c r="B20" s="102" t="s">
        <v>325</v>
      </c>
      <c r="C20" s="89">
        <f>VLOOKUP(GroupVertices[[#This Row],[Vertex]],Vertices[],MATCH("ID",Vertices[[#Headers],[Vertex]:[Top Word Pairs in Tweet by Salience]],0),FALSE)</f>
        <v>215</v>
      </c>
    </row>
    <row r="21" spans="1:3" ht="15">
      <c r="A21" s="90" t="s">
        <v>2607</v>
      </c>
      <c r="B21" s="102" t="s">
        <v>316</v>
      </c>
      <c r="C21" s="89">
        <f>VLOOKUP(GroupVertices[[#This Row],[Vertex]],Vertices[],MATCH("ID",Vertices[[#Headers],[Vertex]:[Top Word Pairs in Tweet by Salience]],0),FALSE)</f>
        <v>200</v>
      </c>
    </row>
    <row r="22" spans="1:3" ht="15">
      <c r="A22" s="90" t="s">
        <v>2607</v>
      </c>
      <c r="B22" s="102" t="s">
        <v>303</v>
      </c>
      <c r="C22" s="89">
        <f>VLOOKUP(GroupVertices[[#This Row],[Vertex]],Vertices[],MATCH("ID",Vertices[[#Headers],[Vertex]:[Top Word Pairs in Tweet by Salience]],0),FALSE)</f>
        <v>169</v>
      </c>
    </row>
    <row r="23" spans="1:3" ht="15">
      <c r="A23" s="90" t="s">
        <v>2607</v>
      </c>
      <c r="B23" s="102" t="s">
        <v>314</v>
      </c>
      <c r="C23" s="89">
        <f>VLOOKUP(GroupVertices[[#This Row],[Vertex]],Vertices[],MATCH("ID",Vertices[[#Headers],[Vertex]:[Top Word Pairs in Tweet by Salience]],0),FALSE)</f>
        <v>198</v>
      </c>
    </row>
    <row r="24" spans="1:3" ht="15">
      <c r="A24" s="90" t="s">
        <v>2607</v>
      </c>
      <c r="B24" s="102" t="s">
        <v>301</v>
      </c>
      <c r="C24" s="89">
        <f>VLOOKUP(GroupVertices[[#This Row],[Vertex]],Vertices[],MATCH("ID",Vertices[[#Headers],[Vertex]:[Top Word Pairs in Tweet by Salience]],0),FALSE)</f>
        <v>66</v>
      </c>
    </row>
    <row r="25" spans="1:3" ht="15">
      <c r="A25" s="90" t="s">
        <v>2607</v>
      </c>
      <c r="B25" s="102" t="s">
        <v>467</v>
      </c>
      <c r="C25" s="89">
        <f>VLOOKUP(GroupVertices[[#This Row],[Vertex]],Vertices[],MATCH("ID",Vertices[[#Headers],[Vertex]:[Top Word Pairs in Tweet by Salience]],0),FALSE)</f>
        <v>183</v>
      </c>
    </row>
    <row r="26" spans="1:3" ht="15">
      <c r="A26" s="90" t="s">
        <v>2607</v>
      </c>
      <c r="B26" s="102" t="s">
        <v>302</v>
      </c>
      <c r="C26" s="89">
        <f>VLOOKUP(GroupVertices[[#This Row],[Vertex]],Vertices[],MATCH("ID",Vertices[[#Headers],[Vertex]:[Top Word Pairs in Tweet by Salience]],0),FALSE)</f>
        <v>182</v>
      </c>
    </row>
    <row r="27" spans="1:3" ht="15">
      <c r="A27" s="90" t="s">
        <v>2607</v>
      </c>
      <c r="B27" s="102" t="s">
        <v>466</v>
      </c>
      <c r="C27" s="89">
        <f>VLOOKUP(GroupVertices[[#This Row],[Vertex]],Vertices[],MATCH("ID",Vertices[[#Headers],[Vertex]:[Top Word Pairs in Tweet by Salience]],0),FALSE)</f>
        <v>181</v>
      </c>
    </row>
    <row r="28" spans="1:3" ht="15">
      <c r="A28" s="90" t="s">
        <v>2607</v>
      </c>
      <c r="B28" s="102" t="s">
        <v>299</v>
      </c>
      <c r="C28" s="89">
        <f>VLOOKUP(GroupVertices[[#This Row],[Vertex]],Vertices[],MATCH("ID",Vertices[[#Headers],[Vertex]:[Top Word Pairs in Tweet by Salience]],0),FALSE)</f>
        <v>179</v>
      </c>
    </row>
    <row r="29" spans="1:3" ht="15">
      <c r="A29" s="90" t="s">
        <v>2607</v>
      </c>
      <c r="B29" s="102" t="s">
        <v>267</v>
      </c>
      <c r="C29" s="89">
        <f>VLOOKUP(GroupVertices[[#This Row],[Vertex]],Vertices[],MATCH("ID",Vertices[[#Headers],[Vertex]:[Top Word Pairs in Tweet by Salience]],0),FALSE)</f>
        <v>5</v>
      </c>
    </row>
    <row r="30" spans="1:3" ht="15">
      <c r="A30" s="90" t="s">
        <v>2607</v>
      </c>
      <c r="B30" s="102" t="s">
        <v>295</v>
      </c>
      <c r="C30" s="89">
        <f>VLOOKUP(GroupVertices[[#This Row],[Vertex]],Vertices[],MATCH("ID",Vertices[[#Headers],[Vertex]:[Top Word Pairs in Tweet by Salience]],0),FALSE)</f>
        <v>170</v>
      </c>
    </row>
    <row r="31" spans="1:3" ht="15">
      <c r="A31" s="90" t="s">
        <v>2607</v>
      </c>
      <c r="B31" s="102" t="s">
        <v>434</v>
      </c>
      <c r="C31" s="89">
        <f>VLOOKUP(GroupVertices[[#This Row],[Vertex]],Vertices[],MATCH("ID",Vertices[[#Headers],[Vertex]:[Top Word Pairs in Tweet by Salience]],0),FALSE)</f>
        <v>120</v>
      </c>
    </row>
    <row r="32" spans="1:3" ht="15">
      <c r="A32" s="90" t="s">
        <v>2607</v>
      </c>
      <c r="B32" s="102" t="s">
        <v>378</v>
      </c>
      <c r="C32" s="89">
        <f>VLOOKUP(GroupVertices[[#This Row],[Vertex]],Vertices[],MATCH("ID",Vertices[[#Headers],[Vertex]:[Top Word Pairs in Tweet by Salience]],0),FALSE)</f>
        <v>6</v>
      </c>
    </row>
    <row r="33" spans="1:3" ht="15">
      <c r="A33" s="90" t="s">
        <v>2607</v>
      </c>
      <c r="B33" s="102" t="s">
        <v>433</v>
      </c>
      <c r="C33" s="89">
        <f>VLOOKUP(GroupVertices[[#This Row],[Vertex]],Vertices[],MATCH("ID",Vertices[[#Headers],[Vertex]:[Top Word Pairs in Tweet by Salience]],0),FALSE)</f>
        <v>4</v>
      </c>
    </row>
    <row r="34" spans="1:3" ht="15">
      <c r="A34" s="90" t="s">
        <v>2607</v>
      </c>
      <c r="B34" s="102" t="s">
        <v>294</v>
      </c>
      <c r="C34" s="89">
        <f>VLOOKUP(GroupVertices[[#This Row],[Vertex]],Vertices[],MATCH("ID",Vertices[[#Headers],[Vertex]:[Top Word Pairs in Tweet by Salience]],0),FALSE)</f>
        <v>168</v>
      </c>
    </row>
    <row r="35" spans="1:3" ht="15">
      <c r="A35" s="90" t="s">
        <v>2607</v>
      </c>
      <c r="B35" s="102" t="s">
        <v>293</v>
      </c>
      <c r="C35" s="89">
        <f>VLOOKUP(GroupVertices[[#This Row],[Vertex]],Vertices[],MATCH("ID",Vertices[[#Headers],[Vertex]:[Top Word Pairs in Tweet by Salience]],0),FALSE)</f>
        <v>167</v>
      </c>
    </row>
    <row r="36" spans="1:3" ht="15">
      <c r="A36" s="90" t="s">
        <v>2607</v>
      </c>
      <c r="B36" s="102" t="s">
        <v>283</v>
      </c>
      <c r="C36" s="89">
        <f>VLOOKUP(GroupVertices[[#This Row],[Vertex]],Vertices[],MATCH("ID",Vertices[[#Headers],[Vertex]:[Top Word Pairs in Tweet by Salience]],0),FALSE)</f>
        <v>132</v>
      </c>
    </row>
    <row r="37" spans="1:3" ht="15">
      <c r="A37" s="90" t="s">
        <v>2607</v>
      </c>
      <c r="B37" s="102" t="s">
        <v>435</v>
      </c>
      <c r="C37" s="89">
        <f>VLOOKUP(GroupVertices[[#This Row],[Vertex]],Vertices[],MATCH("ID",Vertices[[#Headers],[Vertex]:[Top Word Pairs in Tweet by Salience]],0),FALSE)</f>
        <v>129</v>
      </c>
    </row>
    <row r="38" spans="1:3" ht="15">
      <c r="A38" s="90" t="s">
        <v>2607</v>
      </c>
      <c r="B38" s="102" t="s">
        <v>274</v>
      </c>
      <c r="C38" s="89">
        <f>VLOOKUP(GroupVertices[[#This Row],[Vertex]],Vertices[],MATCH("ID",Vertices[[#Headers],[Vertex]:[Top Word Pairs in Tweet by Salience]],0),FALSE)</f>
        <v>119</v>
      </c>
    </row>
    <row r="39" spans="1:3" ht="15">
      <c r="A39" s="90" t="s">
        <v>2607</v>
      </c>
      <c r="B39" s="102" t="s">
        <v>424</v>
      </c>
      <c r="C39" s="89">
        <f>VLOOKUP(GroupVertices[[#This Row],[Vertex]],Vertices[],MATCH("ID",Vertices[[#Headers],[Vertex]:[Top Word Pairs in Tweet by Salience]],0),FALSE)</f>
        <v>103</v>
      </c>
    </row>
    <row r="40" spans="1:3" ht="15">
      <c r="A40" s="90" t="s">
        <v>2607</v>
      </c>
      <c r="B40" s="102" t="s">
        <v>423</v>
      </c>
      <c r="C40" s="89">
        <f>VLOOKUP(GroupVertices[[#This Row],[Vertex]],Vertices[],MATCH("ID",Vertices[[#Headers],[Vertex]:[Top Word Pairs in Tweet by Salience]],0),FALSE)</f>
        <v>102</v>
      </c>
    </row>
    <row r="41" spans="1:3" ht="15">
      <c r="A41" s="90" t="s">
        <v>2607</v>
      </c>
      <c r="B41" s="102" t="s">
        <v>261</v>
      </c>
      <c r="C41" s="89">
        <f>VLOOKUP(GroupVertices[[#This Row],[Vertex]],Vertices[],MATCH("ID",Vertices[[#Headers],[Vertex]:[Top Word Pairs in Tweet by Salience]],0),FALSE)</f>
        <v>82</v>
      </c>
    </row>
    <row r="42" spans="1:3" ht="15">
      <c r="A42" s="90" t="s">
        <v>2607</v>
      </c>
      <c r="B42" s="102" t="s">
        <v>409</v>
      </c>
      <c r="C42" s="89">
        <f>VLOOKUP(GroupVertices[[#This Row],[Vertex]],Vertices[],MATCH("ID",Vertices[[#Headers],[Vertex]:[Top Word Pairs in Tweet by Salience]],0),FALSE)</f>
        <v>83</v>
      </c>
    </row>
    <row r="43" spans="1:3" ht="15">
      <c r="A43" s="90" t="s">
        <v>2607</v>
      </c>
      <c r="B43" s="102" t="s">
        <v>254</v>
      </c>
      <c r="C43" s="89">
        <f>VLOOKUP(GroupVertices[[#This Row],[Vertex]],Vertices[],MATCH("ID",Vertices[[#Headers],[Vertex]:[Top Word Pairs in Tweet by Salience]],0),FALSE)</f>
        <v>64</v>
      </c>
    </row>
    <row r="44" spans="1:3" ht="15">
      <c r="A44" s="90" t="s">
        <v>2607</v>
      </c>
      <c r="B44" s="102" t="s">
        <v>402</v>
      </c>
      <c r="C44" s="89">
        <f>VLOOKUP(GroupVertices[[#This Row],[Vertex]],Vertices[],MATCH("ID",Vertices[[#Headers],[Vertex]:[Top Word Pairs in Tweet by Salience]],0),FALSE)</f>
        <v>65</v>
      </c>
    </row>
    <row r="45" spans="1:3" ht="15">
      <c r="A45" s="90" t="s">
        <v>2607</v>
      </c>
      <c r="B45" s="102" t="s">
        <v>243</v>
      </c>
      <c r="C45" s="89">
        <f>VLOOKUP(GroupVertices[[#This Row],[Vertex]],Vertices[],MATCH("ID",Vertices[[#Headers],[Vertex]:[Top Word Pairs in Tweet by Salience]],0),FALSE)</f>
        <v>42</v>
      </c>
    </row>
    <row r="46" spans="1:3" ht="15">
      <c r="A46" s="90" t="s">
        <v>2607</v>
      </c>
      <c r="B46" s="102" t="s">
        <v>225</v>
      </c>
      <c r="C46" s="89">
        <f>VLOOKUP(GroupVertices[[#This Row],[Vertex]],Vertices[],MATCH("ID",Vertices[[#Headers],[Vertex]:[Top Word Pairs in Tweet by Salience]],0),FALSE)</f>
        <v>3</v>
      </c>
    </row>
    <row r="47" spans="1:3" ht="15">
      <c r="A47" s="90" t="s">
        <v>2608</v>
      </c>
      <c r="B47" s="102" t="s">
        <v>373</v>
      </c>
      <c r="C47" s="89">
        <f>VLOOKUP(GroupVertices[[#This Row],[Vertex]],Vertices[],MATCH("ID",Vertices[[#Headers],[Vertex]:[Top Word Pairs in Tweet by Salience]],0),FALSE)</f>
        <v>284</v>
      </c>
    </row>
    <row r="48" spans="1:3" ht="15">
      <c r="A48" s="90" t="s">
        <v>2608</v>
      </c>
      <c r="B48" s="102" t="s">
        <v>511</v>
      </c>
      <c r="C48" s="89">
        <f>VLOOKUP(GroupVertices[[#This Row],[Vertex]],Vertices[],MATCH("ID",Vertices[[#Headers],[Vertex]:[Top Word Pairs in Tweet by Salience]],0),FALSE)</f>
        <v>286</v>
      </c>
    </row>
    <row r="49" spans="1:3" ht="15">
      <c r="A49" s="90" t="s">
        <v>2608</v>
      </c>
      <c r="B49" s="102" t="s">
        <v>510</v>
      </c>
      <c r="C49" s="89">
        <f>VLOOKUP(GroupVertices[[#This Row],[Vertex]],Vertices[],MATCH("ID",Vertices[[#Headers],[Vertex]:[Top Word Pairs in Tweet by Salience]],0),FALSE)</f>
        <v>285</v>
      </c>
    </row>
    <row r="50" spans="1:3" ht="15">
      <c r="A50" s="90" t="s">
        <v>2608</v>
      </c>
      <c r="B50" s="102" t="s">
        <v>459</v>
      </c>
      <c r="C50" s="89">
        <f>VLOOKUP(GroupVertices[[#This Row],[Vertex]],Vertices[],MATCH("ID",Vertices[[#Headers],[Vertex]:[Top Word Pairs in Tweet by Salience]],0),FALSE)</f>
        <v>163</v>
      </c>
    </row>
    <row r="51" spans="1:3" ht="15">
      <c r="A51" s="90" t="s">
        <v>2608</v>
      </c>
      <c r="B51" s="102" t="s">
        <v>372</v>
      </c>
      <c r="C51" s="89">
        <f>VLOOKUP(GroupVertices[[#This Row],[Vertex]],Vertices[],MATCH("ID",Vertices[[#Headers],[Vertex]:[Top Word Pairs in Tweet by Salience]],0),FALSE)</f>
        <v>189</v>
      </c>
    </row>
    <row r="52" spans="1:3" ht="15">
      <c r="A52" s="90" t="s">
        <v>2608</v>
      </c>
      <c r="B52" s="102" t="s">
        <v>458</v>
      </c>
      <c r="C52" s="89">
        <f>VLOOKUP(GroupVertices[[#This Row],[Vertex]],Vertices[],MATCH("ID",Vertices[[#Headers],[Vertex]:[Top Word Pairs in Tweet by Salience]],0),FALSE)</f>
        <v>162</v>
      </c>
    </row>
    <row r="53" spans="1:3" ht="15">
      <c r="A53" s="90" t="s">
        <v>2608</v>
      </c>
      <c r="B53" s="102" t="s">
        <v>337</v>
      </c>
      <c r="C53" s="89">
        <f>VLOOKUP(GroupVertices[[#This Row],[Vertex]],Vertices[],MATCH("ID",Vertices[[#Headers],[Vertex]:[Top Word Pairs in Tweet by Salience]],0),FALSE)</f>
        <v>232</v>
      </c>
    </row>
    <row r="54" spans="1:3" ht="15">
      <c r="A54" s="90" t="s">
        <v>2608</v>
      </c>
      <c r="B54" s="102" t="s">
        <v>336</v>
      </c>
      <c r="C54" s="89">
        <f>VLOOKUP(GroupVertices[[#This Row],[Vertex]],Vertices[],MATCH("ID",Vertices[[#Headers],[Vertex]:[Top Word Pairs in Tweet by Salience]],0),FALSE)</f>
        <v>230</v>
      </c>
    </row>
    <row r="55" spans="1:3" ht="15">
      <c r="A55" s="90" t="s">
        <v>2608</v>
      </c>
      <c r="B55" s="102" t="s">
        <v>483</v>
      </c>
      <c r="C55" s="89">
        <f>VLOOKUP(GroupVertices[[#This Row],[Vertex]],Vertices[],MATCH("ID",Vertices[[#Headers],[Vertex]:[Top Word Pairs in Tweet by Salience]],0),FALSE)</f>
        <v>231</v>
      </c>
    </row>
    <row r="56" spans="1:3" ht="15">
      <c r="A56" s="90" t="s">
        <v>2608</v>
      </c>
      <c r="B56" s="102" t="s">
        <v>334</v>
      </c>
      <c r="C56" s="89">
        <f>VLOOKUP(GroupVertices[[#This Row],[Vertex]],Vertices[],MATCH("ID",Vertices[[#Headers],[Vertex]:[Top Word Pairs in Tweet by Salience]],0),FALSE)</f>
        <v>226</v>
      </c>
    </row>
    <row r="57" spans="1:3" ht="15">
      <c r="A57" s="90" t="s">
        <v>2608</v>
      </c>
      <c r="B57" s="102" t="s">
        <v>333</v>
      </c>
      <c r="C57" s="89">
        <f>VLOOKUP(GroupVertices[[#This Row],[Vertex]],Vertices[],MATCH("ID",Vertices[[#Headers],[Vertex]:[Top Word Pairs in Tweet by Salience]],0),FALSE)</f>
        <v>225</v>
      </c>
    </row>
    <row r="58" spans="1:3" ht="15">
      <c r="A58" s="90" t="s">
        <v>2608</v>
      </c>
      <c r="B58" s="102" t="s">
        <v>329</v>
      </c>
      <c r="C58" s="89">
        <f>VLOOKUP(GroupVertices[[#This Row],[Vertex]],Vertices[],MATCH("ID",Vertices[[#Headers],[Vertex]:[Top Word Pairs in Tweet by Salience]],0),FALSE)</f>
        <v>219</v>
      </c>
    </row>
    <row r="59" spans="1:3" ht="15">
      <c r="A59" s="90" t="s">
        <v>2608</v>
      </c>
      <c r="B59" s="102" t="s">
        <v>479</v>
      </c>
      <c r="C59" s="89">
        <f>VLOOKUP(GroupVertices[[#This Row],[Vertex]],Vertices[],MATCH("ID",Vertices[[#Headers],[Vertex]:[Top Word Pairs in Tweet by Salience]],0),FALSE)</f>
        <v>221</v>
      </c>
    </row>
    <row r="60" spans="1:3" ht="15">
      <c r="A60" s="90" t="s">
        <v>2608</v>
      </c>
      <c r="B60" s="102" t="s">
        <v>478</v>
      </c>
      <c r="C60" s="89">
        <f>VLOOKUP(GroupVertices[[#This Row],[Vertex]],Vertices[],MATCH("ID",Vertices[[#Headers],[Vertex]:[Top Word Pairs in Tweet by Salience]],0),FALSE)</f>
        <v>220</v>
      </c>
    </row>
    <row r="61" spans="1:3" ht="15">
      <c r="A61" s="90" t="s">
        <v>2608</v>
      </c>
      <c r="B61" s="102" t="s">
        <v>322</v>
      </c>
      <c r="C61" s="89">
        <f>VLOOKUP(GroupVertices[[#This Row],[Vertex]],Vertices[],MATCH("ID",Vertices[[#Headers],[Vertex]:[Top Word Pairs in Tweet by Salience]],0),FALSE)</f>
        <v>212</v>
      </c>
    </row>
    <row r="62" spans="1:3" ht="15">
      <c r="A62" s="90" t="s">
        <v>2608</v>
      </c>
      <c r="B62" s="102" t="s">
        <v>477</v>
      </c>
      <c r="C62" s="89">
        <f>VLOOKUP(GroupVertices[[#This Row],[Vertex]],Vertices[],MATCH("ID",Vertices[[#Headers],[Vertex]:[Top Word Pairs in Tweet by Salience]],0),FALSE)</f>
        <v>213</v>
      </c>
    </row>
    <row r="63" spans="1:3" ht="15">
      <c r="A63" s="90" t="s">
        <v>2608</v>
      </c>
      <c r="B63" s="102" t="s">
        <v>321</v>
      </c>
      <c r="C63" s="89">
        <f>VLOOKUP(GroupVertices[[#This Row],[Vertex]],Vertices[],MATCH("ID",Vertices[[#Headers],[Vertex]:[Top Word Pairs in Tweet by Salience]],0),FALSE)</f>
        <v>210</v>
      </c>
    </row>
    <row r="64" spans="1:3" ht="15">
      <c r="A64" s="90" t="s">
        <v>2608</v>
      </c>
      <c r="B64" s="102" t="s">
        <v>476</v>
      </c>
      <c r="C64" s="89">
        <f>VLOOKUP(GroupVertices[[#This Row],[Vertex]],Vertices[],MATCH("ID",Vertices[[#Headers],[Vertex]:[Top Word Pairs in Tweet by Salience]],0),FALSE)</f>
        <v>211</v>
      </c>
    </row>
    <row r="65" spans="1:3" ht="15">
      <c r="A65" s="90" t="s">
        <v>2608</v>
      </c>
      <c r="B65" s="102" t="s">
        <v>319</v>
      </c>
      <c r="C65" s="89">
        <f>VLOOKUP(GroupVertices[[#This Row],[Vertex]],Vertices[],MATCH("ID",Vertices[[#Headers],[Vertex]:[Top Word Pairs in Tweet by Salience]],0),FALSE)</f>
        <v>204</v>
      </c>
    </row>
    <row r="66" spans="1:3" ht="15">
      <c r="A66" s="90" t="s">
        <v>2608</v>
      </c>
      <c r="B66" s="102" t="s">
        <v>317</v>
      </c>
      <c r="C66" s="89">
        <f>VLOOKUP(GroupVertices[[#This Row],[Vertex]],Vertices[],MATCH("ID",Vertices[[#Headers],[Vertex]:[Top Word Pairs in Tweet by Salience]],0),FALSE)</f>
        <v>201</v>
      </c>
    </row>
    <row r="67" spans="1:3" ht="15">
      <c r="A67" s="90" t="s">
        <v>2608</v>
      </c>
      <c r="B67" s="102" t="s">
        <v>313</v>
      </c>
      <c r="C67" s="89">
        <f>VLOOKUP(GroupVertices[[#This Row],[Vertex]],Vertices[],MATCH("ID",Vertices[[#Headers],[Vertex]:[Top Word Pairs in Tweet by Salience]],0),FALSE)</f>
        <v>197</v>
      </c>
    </row>
    <row r="68" spans="1:3" ht="15">
      <c r="A68" s="90" t="s">
        <v>2608</v>
      </c>
      <c r="B68" s="102" t="s">
        <v>310</v>
      </c>
      <c r="C68" s="89">
        <f>VLOOKUP(GroupVertices[[#This Row],[Vertex]],Vertices[],MATCH("ID",Vertices[[#Headers],[Vertex]:[Top Word Pairs in Tweet by Salience]],0),FALSE)</f>
        <v>193</v>
      </c>
    </row>
    <row r="69" spans="1:3" ht="15">
      <c r="A69" s="90" t="s">
        <v>2608</v>
      </c>
      <c r="B69" s="102" t="s">
        <v>306</v>
      </c>
      <c r="C69" s="89">
        <f>VLOOKUP(GroupVertices[[#This Row],[Vertex]],Vertices[],MATCH("ID",Vertices[[#Headers],[Vertex]:[Top Word Pairs in Tweet by Salience]],0),FALSE)</f>
        <v>121</v>
      </c>
    </row>
    <row r="70" spans="1:3" ht="15">
      <c r="A70" s="90" t="s">
        <v>2608</v>
      </c>
      <c r="B70" s="102" t="s">
        <v>305</v>
      </c>
      <c r="C70" s="89">
        <f>VLOOKUP(GroupVertices[[#This Row],[Vertex]],Vertices[],MATCH("ID",Vertices[[#Headers],[Vertex]:[Top Word Pairs in Tweet by Salience]],0),FALSE)</f>
        <v>187</v>
      </c>
    </row>
    <row r="71" spans="1:3" ht="15">
      <c r="A71" s="90" t="s">
        <v>2608</v>
      </c>
      <c r="B71" s="102" t="s">
        <v>468</v>
      </c>
      <c r="C71" s="89">
        <f>VLOOKUP(GroupVertices[[#This Row],[Vertex]],Vertices[],MATCH("ID",Vertices[[#Headers],[Vertex]:[Top Word Pairs in Tweet by Salience]],0),FALSE)</f>
        <v>188</v>
      </c>
    </row>
    <row r="72" spans="1:3" ht="15">
      <c r="A72" s="90" t="s">
        <v>2608</v>
      </c>
      <c r="B72" s="102" t="s">
        <v>292</v>
      </c>
      <c r="C72" s="89">
        <f>VLOOKUP(GroupVertices[[#This Row],[Vertex]],Vertices[],MATCH("ID",Vertices[[#Headers],[Vertex]:[Top Word Pairs in Tweet by Salience]],0),FALSE)</f>
        <v>165</v>
      </c>
    </row>
    <row r="73" spans="1:3" ht="15">
      <c r="A73" s="90" t="s">
        <v>2608</v>
      </c>
      <c r="B73" s="102" t="s">
        <v>465</v>
      </c>
      <c r="C73" s="89">
        <f>VLOOKUP(GroupVertices[[#This Row],[Vertex]],Vertices[],MATCH("ID",Vertices[[#Headers],[Vertex]:[Top Word Pairs in Tweet by Salience]],0),FALSE)</f>
        <v>176</v>
      </c>
    </row>
    <row r="74" spans="1:3" ht="15">
      <c r="A74" s="90" t="s">
        <v>2608</v>
      </c>
      <c r="B74" s="102" t="s">
        <v>298</v>
      </c>
      <c r="C74" s="89">
        <f>VLOOKUP(GroupVertices[[#This Row],[Vertex]],Vertices[],MATCH("ID",Vertices[[#Headers],[Vertex]:[Top Word Pairs in Tweet by Salience]],0),FALSE)</f>
        <v>178</v>
      </c>
    </row>
    <row r="75" spans="1:3" ht="15">
      <c r="A75" s="90" t="s">
        <v>2608</v>
      </c>
      <c r="B75" s="102" t="s">
        <v>297</v>
      </c>
      <c r="C75" s="89">
        <f>VLOOKUP(GroupVertices[[#This Row],[Vertex]],Vertices[],MATCH("ID",Vertices[[#Headers],[Vertex]:[Top Word Pairs in Tweet by Salience]],0),FALSE)</f>
        <v>105</v>
      </c>
    </row>
    <row r="76" spans="1:3" ht="15">
      <c r="A76" s="90" t="s">
        <v>2608</v>
      </c>
      <c r="B76" s="102" t="s">
        <v>464</v>
      </c>
      <c r="C76" s="89">
        <f>VLOOKUP(GroupVertices[[#This Row],[Vertex]],Vertices[],MATCH("ID",Vertices[[#Headers],[Vertex]:[Top Word Pairs in Tweet by Salience]],0),FALSE)</f>
        <v>175</v>
      </c>
    </row>
    <row r="77" spans="1:3" ht="15">
      <c r="A77" s="90" t="s">
        <v>2608</v>
      </c>
      <c r="B77" s="102" t="s">
        <v>463</v>
      </c>
      <c r="C77" s="89">
        <f>VLOOKUP(GroupVertices[[#This Row],[Vertex]],Vertices[],MATCH("ID",Vertices[[#Headers],[Vertex]:[Top Word Pairs in Tweet by Salience]],0),FALSE)</f>
        <v>174</v>
      </c>
    </row>
    <row r="78" spans="1:3" ht="15">
      <c r="A78" s="90" t="s">
        <v>2608</v>
      </c>
      <c r="B78" s="102" t="s">
        <v>462</v>
      </c>
      <c r="C78" s="89">
        <f>VLOOKUP(GroupVertices[[#This Row],[Vertex]],Vertices[],MATCH("ID",Vertices[[#Headers],[Vertex]:[Top Word Pairs in Tweet by Salience]],0),FALSE)</f>
        <v>173</v>
      </c>
    </row>
    <row r="79" spans="1:3" ht="15">
      <c r="A79" s="90" t="s">
        <v>2608</v>
      </c>
      <c r="B79" s="102" t="s">
        <v>460</v>
      </c>
      <c r="C79" s="89">
        <f>VLOOKUP(GroupVertices[[#This Row],[Vertex]],Vertices[],MATCH("ID",Vertices[[#Headers],[Vertex]:[Top Word Pairs in Tweet by Salience]],0),FALSE)</f>
        <v>166</v>
      </c>
    </row>
    <row r="80" spans="1:3" ht="15">
      <c r="A80" s="90" t="s">
        <v>2608</v>
      </c>
      <c r="B80" s="102" t="s">
        <v>291</v>
      </c>
      <c r="C80" s="89">
        <f>VLOOKUP(GroupVertices[[#This Row],[Vertex]],Vertices[],MATCH("ID",Vertices[[#Headers],[Vertex]:[Top Word Pairs in Tweet by Salience]],0),FALSE)</f>
        <v>164</v>
      </c>
    </row>
    <row r="81" spans="1:3" ht="15">
      <c r="A81" s="90" t="s">
        <v>2608</v>
      </c>
      <c r="B81" s="102" t="s">
        <v>290</v>
      </c>
      <c r="C81" s="89">
        <f>VLOOKUP(GroupVertices[[#This Row],[Vertex]],Vertices[],MATCH("ID",Vertices[[#Headers],[Vertex]:[Top Word Pairs in Tweet by Salience]],0),FALSE)</f>
        <v>161</v>
      </c>
    </row>
    <row r="82" spans="1:3" ht="15">
      <c r="A82" s="90" t="s">
        <v>2608</v>
      </c>
      <c r="B82" s="102" t="s">
        <v>269</v>
      </c>
      <c r="C82" s="89">
        <f>VLOOKUP(GroupVertices[[#This Row],[Vertex]],Vertices[],MATCH("ID",Vertices[[#Headers],[Vertex]:[Top Word Pairs in Tweet by Salience]],0),FALSE)</f>
        <v>106</v>
      </c>
    </row>
    <row r="83" spans="1:3" ht="15">
      <c r="A83" s="90" t="s">
        <v>2608</v>
      </c>
      <c r="B83" s="102" t="s">
        <v>379</v>
      </c>
      <c r="C83" s="89">
        <f>VLOOKUP(GroupVertices[[#This Row],[Vertex]],Vertices[],MATCH("ID",Vertices[[#Headers],[Vertex]:[Top Word Pairs in Tweet by Salience]],0),FALSE)</f>
        <v>13</v>
      </c>
    </row>
    <row r="84" spans="1:3" ht="15">
      <c r="A84" s="90" t="s">
        <v>2608</v>
      </c>
      <c r="B84" s="102" t="s">
        <v>268</v>
      </c>
      <c r="C84" s="89">
        <f>VLOOKUP(GroupVertices[[#This Row],[Vertex]],Vertices[],MATCH("ID",Vertices[[#Headers],[Vertex]:[Top Word Pairs in Tweet by Salience]],0),FALSE)</f>
        <v>104</v>
      </c>
    </row>
    <row r="85" spans="1:3" ht="15">
      <c r="A85" s="90" t="s">
        <v>2608</v>
      </c>
      <c r="B85" s="102" t="s">
        <v>230</v>
      </c>
      <c r="C85" s="89">
        <f>VLOOKUP(GroupVertices[[#This Row],[Vertex]],Vertices[],MATCH("ID",Vertices[[#Headers],[Vertex]:[Top Word Pairs in Tweet by Salience]],0),FALSE)</f>
        <v>12</v>
      </c>
    </row>
    <row r="86" spans="1:3" ht="15">
      <c r="A86" s="90" t="s">
        <v>2609</v>
      </c>
      <c r="B86" s="102" t="s">
        <v>367</v>
      </c>
      <c r="C86" s="89">
        <f>VLOOKUP(GroupVertices[[#This Row],[Vertex]],Vertices[],MATCH("ID",Vertices[[#Headers],[Vertex]:[Top Word Pairs in Tweet by Salience]],0),FALSE)</f>
        <v>186</v>
      </c>
    </row>
    <row r="87" spans="1:3" ht="15">
      <c r="A87" s="90" t="s">
        <v>2609</v>
      </c>
      <c r="B87" s="102" t="s">
        <v>506</v>
      </c>
      <c r="C87" s="89">
        <f>VLOOKUP(GroupVertices[[#This Row],[Vertex]],Vertices[],MATCH("ID",Vertices[[#Headers],[Vertex]:[Top Word Pairs in Tweet by Salience]],0),FALSE)</f>
        <v>277</v>
      </c>
    </row>
    <row r="88" spans="1:3" ht="15">
      <c r="A88" s="90" t="s">
        <v>2609</v>
      </c>
      <c r="B88" s="102" t="s">
        <v>505</v>
      </c>
      <c r="C88" s="89">
        <f>VLOOKUP(GroupVertices[[#This Row],[Vertex]],Vertices[],MATCH("ID",Vertices[[#Headers],[Vertex]:[Top Word Pairs in Tweet by Salience]],0),FALSE)</f>
        <v>276</v>
      </c>
    </row>
    <row r="89" spans="1:3" ht="15">
      <c r="A89" s="90" t="s">
        <v>2609</v>
      </c>
      <c r="B89" s="102" t="s">
        <v>504</v>
      </c>
      <c r="C89" s="89">
        <f>VLOOKUP(GroupVertices[[#This Row],[Vertex]],Vertices[],MATCH("ID",Vertices[[#Headers],[Vertex]:[Top Word Pairs in Tweet by Salience]],0),FALSE)</f>
        <v>275</v>
      </c>
    </row>
    <row r="90" spans="1:3" ht="15">
      <c r="A90" s="90" t="s">
        <v>2609</v>
      </c>
      <c r="B90" s="102" t="s">
        <v>368</v>
      </c>
      <c r="C90" s="89">
        <f>VLOOKUP(GroupVertices[[#This Row],[Vertex]],Vertices[],MATCH("ID",Vertices[[#Headers],[Vertex]:[Top Word Pairs in Tweet by Salience]],0),FALSE)</f>
        <v>115</v>
      </c>
    </row>
    <row r="91" spans="1:3" ht="15">
      <c r="A91" s="90" t="s">
        <v>2609</v>
      </c>
      <c r="B91" s="102" t="s">
        <v>431</v>
      </c>
      <c r="C91" s="89">
        <f>VLOOKUP(GroupVertices[[#This Row],[Vertex]],Vertices[],MATCH("ID",Vertices[[#Headers],[Vertex]:[Top Word Pairs in Tweet by Salience]],0),FALSE)</f>
        <v>114</v>
      </c>
    </row>
    <row r="92" spans="1:3" ht="15">
      <c r="A92" s="90" t="s">
        <v>2609</v>
      </c>
      <c r="B92" s="102" t="s">
        <v>430</v>
      </c>
      <c r="C92" s="89">
        <f>VLOOKUP(GroupVertices[[#This Row],[Vertex]],Vertices[],MATCH("ID",Vertices[[#Headers],[Vertex]:[Top Word Pairs in Tweet by Salience]],0),FALSE)</f>
        <v>113</v>
      </c>
    </row>
    <row r="93" spans="1:3" ht="15">
      <c r="A93" s="90" t="s">
        <v>2609</v>
      </c>
      <c r="B93" s="102" t="s">
        <v>353</v>
      </c>
      <c r="C93" s="89">
        <f>VLOOKUP(GroupVertices[[#This Row],[Vertex]],Vertices[],MATCH("ID",Vertices[[#Headers],[Vertex]:[Top Word Pairs in Tweet by Salience]],0),FALSE)</f>
        <v>260</v>
      </c>
    </row>
    <row r="94" spans="1:3" ht="15">
      <c r="A94" s="90" t="s">
        <v>2609</v>
      </c>
      <c r="B94" s="102" t="s">
        <v>450</v>
      </c>
      <c r="C94" s="89">
        <f>VLOOKUP(GroupVertices[[#This Row],[Vertex]],Vertices[],MATCH("ID",Vertices[[#Headers],[Vertex]:[Top Word Pairs in Tweet by Salience]],0),FALSE)</f>
        <v>153</v>
      </c>
    </row>
    <row r="95" spans="1:3" ht="15">
      <c r="A95" s="90" t="s">
        <v>2609</v>
      </c>
      <c r="B95" s="102" t="s">
        <v>366</v>
      </c>
      <c r="C95" s="89">
        <f>VLOOKUP(GroupVertices[[#This Row],[Vertex]],Vertices[],MATCH("ID",Vertices[[#Headers],[Vertex]:[Top Word Pairs in Tweet by Salience]],0),FALSE)</f>
        <v>152</v>
      </c>
    </row>
    <row r="96" spans="1:3" ht="15">
      <c r="A96" s="90" t="s">
        <v>2609</v>
      </c>
      <c r="B96" s="102" t="s">
        <v>449</v>
      </c>
      <c r="C96" s="89">
        <f>VLOOKUP(GroupVertices[[#This Row],[Vertex]],Vertices[],MATCH("ID",Vertices[[#Headers],[Vertex]:[Top Word Pairs in Tweet by Salience]],0),FALSE)</f>
        <v>151</v>
      </c>
    </row>
    <row r="97" spans="1:3" ht="15">
      <c r="A97" s="90" t="s">
        <v>2609</v>
      </c>
      <c r="B97" s="102" t="s">
        <v>448</v>
      </c>
      <c r="C97" s="89">
        <f>VLOOKUP(GroupVertices[[#This Row],[Vertex]],Vertices[],MATCH("ID",Vertices[[#Headers],[Vertex]:[Top Word Pairs in Tweet by Salience]],0),FALSE)</f>
        <v>150</v>
      </c>
    </row>
    <row r="98" spans="1:3" ht="15">
      <c r="A98" s="90" t="s">
        <v>2609</v>
      </c>
      <c r="B98" s="102" t="s">
        <v>447</v>
      </c>
      <c r="C98" s="89">
        <f>VLOOKUP(GroupVertices[[#This Row],[Vertex]],Vertices[],MATCH("ID",Vertices[[#Headers],[Vertex]:[Top Word Pairs in Tweet by Salience]],0),FALSE)</f>
        <v>149</v>
      </c>
    </row>
    <row r="99" spans="1:3" ht="15">
      <c r="A99" s="90" t="s">
        <v>2609</v>
      </c>
      <c r="B99" s="102" t="s">
        <v>352</v>
      </c>
      <c r="C99" s="89">
        <f>VLOOKUP(GroupVertices[[#This Row],[Vertex]],Vertices[],MATCH("ID",Vertices[[#Headers],[Vertex]:[Top Word Pairs in Tweet by Salience]],0),FALSE)</f>
        <v>259</v>
      </c>
    </row>
    <row r="100" spans="1:3" ht="15">
      <c r="A100" s="90" t="s">
        <v>2609</v>
      </c>
      <c r="B100" s="102" t="s">
        <v>347</v>
      </c>
      <c r="C100" s="89">
        <f>VLOOKUP(GroupVertices[[#This Row],[Vertex]],Vertices[],MATCH("ID",Vertices[[#Headers],[Vertex]:[Top Word Pairs in Tweet by Salience]],0),FALSE)</f>
        <v>252</v>
      </c>
    </row>
    <row r="101" spans="1:3" ht="15">
      <c r="A101" s="90" t="s">
        <v>2609</v>
      </c>
      <c r="B101" s="102" t="s">
        <v>345</v>
      </c>
      <c r="C101" s="89">
        <f>VLOOKUP(GroupVertices[[#This Row],[Vertex]],Vertices[],MATCH("ID",Vertices[[#Headers],[Vertex]:[Top Word Pairs in Tweet by Salience]],0),FALSE)</f>
        <v>249</v>
      </c>
    </row>
    <row r="102" spans="1:3" ht="15">
      <c r="A102" s="90" t="s">
        <v>2609</v>
      </c>
      <c r="B102" s="102" t="s">
        <v>495</v>
      </c>
      <c r="C102" s="89">
        <f>VLOOKUP(GroupVertices[[#This Row],[Vertex]],Vertices[],MATCH("ID",Vertices[[#Headers],[Vertex]:[Top Word Pairs in Tweet by Salience]],0),FALSE)</f>
        <v>250</v>
      </c>
    </row>
    <row r="103" spans="1:3" ht="15">
      <c r="A103" s="90" t="s">
        <v>2609</v>
      </c>
      <c r="B103" s="102" t="s">
        <v>335</v>
      </c>
      <c r="C103" s="89">
        <f>VLOOKUP(GroupVertices[[#This Row],[Vertex]],Vertices[],MATCH("ID",Vertices[[#Headers],[Vertex]:[Top Word Pairs in Tweet by Salience]],0),FALSE)</f>
        <v>227</v>
      </c>
    </row>
    <row r="104" spans="1:3" ht="15">
      <c r="A104" s="90" t="s">
        <v>2609</v>
      </c>
      <c r="B104" s="102" t="s">
        <v>342</v>
      </c>
      <c r="C104" s="89">
        <f>VLOOKUP(GroupVertices[[#This Row],[Vertex]],Vertices[],MATCH("ID",Vertices[[#Headers],[Vertex]:[Top Word Pairs in Tweet by Salience]],0),FALSE)</f>
        <v>246</v>
      </c>
    </row>
    <row r="105" spans="1:3" ht="15">
      <c r="A105" s="90" t="s">
        <v>2609</v>
      </c>
      <c r="B105" s="102" t="s">
        <v>482</v>
      </c>
      <c r="C105" s="89">
        <f>VLOOKUP(GroupVertices[[#This Row],[Vertex]],Vertices[],MATCH("ID",Vertices[[#Headers],[Vertex]:[Top Word Pairs in Tweet by Salience]],0),FALSE)</f>
        <v>229</v>
      </c>
    </row>
    <row r="106" spans="1:3" ht="15">
      <c r="A106" s="90" t="s">
        <v>2609</v>
      </c>
      <c r="B106" s="102" t="s">
        <v>481</v>
      </c>
      <c r="C106" s="89">
        <f>VLOOKUP(GroupVertices[[#This Row],[Vertex]],Vertices[],MATCH("ID",Vertices[[#Headers],[Vertex]:[Top Word Pairs in Tweet by Salience]],0),FALSE)</f>
        <v>228</v>
      </c>
    </row>
    <row r="107" spans="1:3" ht="15">
      <c r="A107" s="90" t="s">
        <v>2609</v>
      </c>
      <c r="B107" s="102" t="s">
        <v>326</v>
      </c>
      <c r="C107" s="89">
        <f>VLOOKUP(GroupVertices[[#This Row],[Vertex]],Vertices[],MATCH("ID",Vertices[[#Headers],[Vertex]:[Top Word Pairs in Tweet by Salience]],0),FALSE)</f>
        <v>216</v>
      </c>
    </row>
    <row r="108" spans="1:3" ht="15">
      <c r="A108" s="90" t="s">
        <v>2609</v>
      </c>
      <c r="B108" s="102" t="s">
        <v>324</v>
      </c>
      <c r="C108" s="89">
        <f>VLOOKUP(GroupVertices[[#This Row],[Vertex]],Vertices[],MATCH("ID",Vertices[[#Headers],[Vertex]:[Top Word Pairs in Tweet by Salience]],0),FALSE)</f>
        <v>185</v>
      </c>
    </row>
    <row r="109" spans="1:3" ht="15">
      <c r="A109" s="90" t="s">
        <v>2609</v>
      </c>
      <c r="B109" s="102" t="s">
        <v>323</v>
      </c>
      <c r="C109" s="89">
        <f>VLOOKUP(GroupVertices[[#This Row],[Vertex]],Vertices[],MATCH("ID",Vertices[[#Headers],[Vertex]:[Top Word Pairs in Tweet by Salience]],0),FALSE)</f>
        <v>214</v>
      </c>
    </row>
    <row r="110" spans="1:3" ht="15">
      <c r="A110" s="90" t="s">
        <v>2609</v>
      </c>
      <c r="B110" s="102" t="s">
        <v>312</v>
      </c>
      <c r="C110" s="89">
        <f>VLOOKUP(GroupVertices[[#This Row],[Vertex]],Vertices[],MATCH("ID",Vertices[[#Headers],[Vertex]:[Top Word Pairs in Tweet by Salience]],0),FALSE)</f>
        <v>196</v>
      </c>
    </row>
    <row r="111" spans="1:3" ht="15">
      <c r="A111" s="90" t="s">
        <v>2609</v>
      </c>
      <c r="B111" s="102" t="s">
        <v>304</v>
      </c>
      <c r="C111" s="89">
        <f>VLOOKUP(GroupVertices[[#This Row],[Vertex]],Vertices[],MATCH("ID",Vertices[[#Headers],[Vertex]:[Top Word Pairs in Tweet by Salience]],0),FALSE)</f>
        <v>184</v>
      </c>
    </row>
    <row r="112" spans="1:3" ht="15">
      <c r="A112" s="90" t="s">
        <v>2609</v>
      </c>
      <c r="B112" s="102" t="s">
        <v>296</v>
      </c>
      <c r="C112" s="89">
        <f>VLOOKUP(GroupVertices[[#This Row],[Vertex]],Vertices[],MATCH("ID",Vertices[[#Headers],[Vertex]:[Top Word Pairs in Tweet by Salience]],0),FALSE)</f>
        <v>172</v>
      </c>
    </row>
    <row r="113" spans="1:3" ht="15">
      <c r="A113" s="90" t="s">
        <v>2609</v>
      </c>
      <c r="B113" s="102" t="s">
        <v>289</v>
      </c>
      <c r="C113" s="89">
        <f>VLOOKUP(GroupVertices[[#This Row],[Vertex]],Vertices[],MATCH("ID",Vertices[[#Headers],[Vertex]:[Top Word Pairs in Tweet by Salience]],0),FALSE)</f>
        <v>148</v>
      </c>
    </row>
    <row r="114" spans="1:3" ht="15">
      <c r="A114" s="90" t="s">
        <v>2609</v>
      </c>
      <c r="B114" s="102" t="s">
        <v>286</v>
      </c>
      <c r="C114" s="89">
        <f>VLOOKUP(GroupVertices[[#This Row],[Vertex]],Vertices[],MATCH("ID",Vertices[[#Headers],[Vertex]:[Top Word Pairs in Tweet by Salience]],0),FALSE)</f>
        <v>136</v>
      </c>
    </row>
    <row r="115" spans="1:3" ht="15">
      <c r="A115" s="90" t="s">
        <v>2609</v>
      </c>
      <c r="B115" s="102" t="s">
        <v>285</v>
      </c>
      <c r="C115" s="89">
        <f>VLOOKUP(GroupVertices[[#This Row],[Vertex]],Vertices[],MATCH("ID",Vertices[[#Headers],[Vertex]:[Top Word Pairs in Tweet by Salience]],0),FALSE)</f>
        <v>135</v>
      </c>
    </row>
    <row r="116" spans="1:3" ht="15">
      <c r="A116" s="90" t="s">
        <v>2609</v>
      </c>
      <c r="B116" s="102" t="s">
        <v>284</v>
      </c>
      <c r="C116" s="89">
        <f>VLOOKUP(GroupVertices[[#This Row],[Vertex]],Vertices[],MATCH("ID",Vertices[[#Headers],[Vertex]:[Top Word Pairs in Tweet by Salience]],0),FALSE)</f>
        <v>134</v>
      </c>
    </row>
    <row r="117" spans="1:3" ht="15">
      <c r="A117" s="90" t="s">
        <v>2609</v>
      </c>
      <c r="B117" s="102" t="s">
        <v>272</v>
      </c>
      <c r="C117" s="89">
        <f>VLOOKUP(GroupVertices[[#This Row],[Vertex]],Vertices[],MATCH("ID",Vertices[[#Headers],[Vertex]:[Top Word Pairs in Tweet by Salience]],0),FALSE)</f>
        <v>116</v>
      </c>
    </row>
    <row r="118" spans="1:3" ht="15">
      <c r="A118" s="90" t="s">
        <v>2610</v>
      </c>
      <c r="B118" s="102" t="s">
        <v>365</v>
      </c>
      <c r="C118" s="89">
        <f>VLOOKUP(GroupVertices[[#This Row],[Vertex]],Vertices[],MATCH("ID",Vertices[[#Headers],[Vertex]:[Top Word Pairs in Tweet by Salience]],0),FALSE)</f>
        <v>274</v>
      </c>
    </row>
    <row r="119" spans="1:3" ht="15">
      <c r="A119" s="90" t="s">
        <v>2610</v>
      </c>
      <c r="B119" s="102" t="s">
        <v>429</v>
      </c>
      <c r="C119" s="89">
        <f>VLOOKUP(GroupVertices[[#This Row],[Vertex]],Vertices[],MATCH("ID",Vertices[[#Headers],[Vertex]:[Top Word Pairs in Tweet by Salience]],0),FALSE)</f>
        <v>112</v>
      </c>
    </row>
    <row r="120" spans="1:3" ht="15">
      <c r="A120" s="90" t="s">
        <v>2610</v>
      </c>
      <c r="B120" s="102" t="s">
        <v>311</v>
      </c>
      <c r="C120" s="89">
        <f>VLOOKUP(GroupVertices[[#This Row],[Vertex]],Vertices[],MATCH("ID",Vertices[[#Headers],[Vertex]:[Top Word Pairs in Tweet by Salience]],0),FALSE)</f>
        <v>194</v>
      </c>
    </row>
    <row r="121" spans="1:3" ht="15">
      <c r="A121" s="90" t="s">
        <v>2610</v>
      </c>
      <c r="B121" s="102" t="s">
        <v>470</v>
      </c>
      <c r="C121" s="89">
        <f>VLOOKUP(GroupVertices[[#This Row],[Vertex]],Vertices[],MATCH("ID",Vertices[[#Headers],[Vertex]:[Top Word Pairs in Tweet by Salience]],0),FALSE)</f>
        <v>195</v>
      </c>
    </row>
    <row r="122" spans="1:3" ht="15">
      <c r="A122" s="90" t="s">
        <v>2610</v>
      </c>
      <c r="B122" s="102" t="s">
        <v>457</v>
      </c>
      <c r="C122" s="89">
        <f>VLOOKUP(GroupVertices[[#This Row],[Vertex]],Vertices[],MATCH("ID",Vertices[[#Headers],[Vertex]:[Top Word Pairs in Tweet by Salience]],0),FALSE)</f>
        <v>160</v>
      </c>
    </row>
    <row r="123" spans="1:3" ht="15">
      <c r="A123" s="90" t="s">
        <v>2610</v>
      </c>
      <c r="B123" s="102" t="s">
        <v>288</v>
      </c>
      <c r="C123" s="89">
        <f>VLOOKUP(GroupVertices[[#This Row],[Vertex]],Vertices[],MATCH("ID",Vertices[[#Headers],[Vertex]:[Top Word Pairs in Tweet by Salience]],0),FALSE)</f>
        <v>137</v>
      </c>
    </row>
    <row r="124" spans="1:3" ht="15">
      <c r="A124" s="90" t="s">
        <v>2610</v>
      </c>
      <c r="B124" s="102" t="s">
        <v>456</v>
      </c>
      <c r="C124" s="89">
        <f>VLOOKUP(GroupVertices[[#This Row],[Vertex]],Vertices[],MATCH("ID",Vertices[[#Headers],[Vertex]:[Top Word Pairs in Tweet by Salience]],0),FALSE)</f>
        <v>159</v>
      </c>
    </row>
    <row r="125" spans="1:3" ht="15">
      <c r="A125" s="90" t="s">
        <v>2610</v>
      </c>
      <c r="B125" s="102" t="s">
        <v>455</v>
      </c>
      <c r="C125" s="89">
        <f>VLOOKUP(GroupVertices[[#This Row],[Vertex]],Vertices[],MATCH("ID",Vertices[[#Headers],[Vertex]:[Top Word Pairs in Tweet by Salience]],0),FALSE)</f>
        <v>158</v>
      </c>
    </row>
    <row r="126" spans="1:3" ht="15">
      <c r="A126" s="90" t="s">
        <v>2610</v>
      </c>
      <c r="B126" s="102" t="s">
        <v>454</v>
      </c>
      <c r="C126" s="89">
        <f>VLOOKUP(GroupVertices[[#This Row],[Vertex]],Vertices[],MATCH("ID",Vertices[[#Headers],[Vertex]:[Top Word Pairs in Tweet by Salience]],0),FALSE)</f>
        <v>157</v>
      </c>
    </row>
    <row r="127" spans="1:3" ht="15">
      <c r="A127" s="90" t="s">
        <v>2610</v>
      </c>
      <c r="B127" s="102" t="s">
        <v>453</v>
      </c>
      <c r="C127" s="89">
        <f>VLOOKUP(GroupVertices[[#This Row],[Vertex]],Vertices[],MATCH("ID",Vertices[[#Headers],[Vertex]:[Top Word Pairs in Tweet by Salience]],0),FALSE)</f>
        <v>156</v>
      </c>
    </row>
    <row r="128" spans="1:3" ht="15">
      <c r="A128" s="90" t="s">
        <v>2610</v>
      </c>
      <c r="B128" s="102" t="s">
        <v>452</v>
      </c>
      <c r="C128" s="89">
        <f>VLOOKUP(GroupVertices[[#This Row],[Vertex]],Vertices[],MATCH("ID",Vertices[[#Headers],[Vertex]:[Top Word Pairs in Tweet by Salience]],0),FALSE)</f>
        <v>155</v>
      </c>
    </row>
    <row r="129" spans="1:3" ht="15">
      <c r="A129" s="90" t="s">
        <v>2610</v>
      </c>
      <c r="B129" s="102" t="s">
        <v>451</v>
      </c>
      <c r="C129" s="89">
        <f>VLOOKUP(GroupVertices[[#This Row],[Vertex]],Vertices[],MATCH("ID",Vertices[[#Headers],[Vertex]:[Top Word Pairs in Tweet by Salience]],0),FALSE)</f>
        <v>154</v>
      </c>
    </row>
    <row r="130" spans="1:3" ht="15">
      <c r="A130" s="90" t="s">
        <v>2610</v>
      </c>
      <c r="B130" s="102" t="s">
        <v>446</v>
      </c>
      <c r="C130" s="89">
        <f>VLOOKUP(GroupVertices[[#This Row],[Vertex]],Vertices[],MATCH("ID",Vertices[[#Headers],[Vertex]:[Top Word Pairs in Tweet by Salience]],0),FALSE)</f>
        <v>147</v>
      </c>
    </row>
    <row r="131" spans="1:3" ht="15">
      <c r="A131" s="90" t="s">
        <v>2610</v>
      </c>
      <c r="B131" s="102" t="s">
        <v>445</v>
      </c>
      <c r="C131" s="89">
        <f>VLOOKUP(GroupVertices[[#This Row],[Vertex]],Vertices[],MATCH("ID",Vertices[[#Headers],[Vertex]:[Top Word Pairs in Tweet by Salience]],0),FALSE)</f>
        <v>146</v>
      </c>
    </row>
    <row r="132" spans="1:3" ht="15">
      <c r="A132" s="90" t="s">
        <v>2610</v>
      </c>
      <c r="B132" s="102" t="s">
        <v>444</v>
      </c>
      <c r="C132" s="89">
        <f>VLOOKUP(GroupVertices[[#This Row],[Vertex]],Vertices[],MATCH("ID",Vertices[[#Headers],[Vertex]:[Top Word Pairs in Tweet by Salience]],0),FALSE)</f>
        <v>145</v>
      </c>
    </row>
    <row r="133" spans="1:3" ht="15">
      <c r="A133" s="90" t="s">
        <v>2610</v>
      </c>
      <c r="B133" s="102" t="s">
        <v>443</v>
      </c>
      <c r="C133" s="89">
        <f>VLOOKUP(GroupVertices[[#This Row],[Vertex]],Vertices[],MATCH("ID",Vertices[[#Headers],[Vertex]:[Top Word Pairs in Tweet by Salience]],0),FALSE)</f>
        <v>144</v>
      </c>
    </row>
    <row r="134" spans="1:3" ht="15">
      <c r="A134" s="90" t="s">
        <v>2610</v>
      </c>
      <c r="B134" s="102" t="s">
        <v>442</v>
      </c>
      <c r="C134" s="89">
        <f>VLOOKUP(GroupVertices[[#This Row],[Vertex]],Vertices[],MATCH("ID",Vertices[[#Headers],[Vertex]:[Top Word Pairs in Tweet by Salience]],0),FALSE)</f>
        <v>143</v>
      </c>
    </row>
    <row r="135" spans="1:3" ht="15">
      <c r="A135" s="90" t="s">
        <v>2610</v>
      </c>
      <c r="B135" s="102" t="s">
        <v>441</v>
      </c>
      <c r="C135" s="89">
        <f>VLOOKUP(GroupVertices[[#This Row],[Vertex]],Vertices[],MATCH("ID",Vertices[[#Headers],[Vertex]:[Top Word Pairs in Tweet by Salience]],0),FALSE)</f>
        <v>142</v>
      </c>
    </row>
    <row r="136" spans="1:3" ht="15">
      <c r="A136" s="90" t="s">
        <v>2610</v>
      </c>
      <c r="B136" s="102" t="s">
        <v>440</v>
      </c>
      <c r="C136" s="89">
        <f>VLOOKUP(GroupVertices[[#This Row],[Vertex]],Vertices[],MATCH("ID",Vertices[[#Headers],[Vertex]:[Top Word Pairs in Tweet by Salience]],0),FALSE)</f>
        <v>141</v>
      </c>
    </row>
    <row r="137" spans="1:3" ht="15">
      <c r="A137" s="90" t="s">
        <v>2610</v>
      </c>
      <c r="B137" s="102" t="s">
        <v>439</v>
      </c>
      <c r="C137" s="89">
        <f>VLOOKUP(GroupVertices[[#This Row],[Vertex]],Vertices[],MATCH("ID",Vertices[[#Headers],[Vertex]:[Top Word Pairs in Tweet by Salience]],0),FALSE)</f>
        <v>140</v>
      </c>
    </row>
    <row r="138" spans="1:3" ht="15">
      <c r="A138" s="90" t="s">
        <v>2610</v>
      </c>
      <c r="B138" s="102" t="s">
        <v>438</v>
      </c>
      <c r="C138" s="89">
        <f>VLOOKUP(GroupVertices[[#This Row],[Vertex]],Vertices[],MATCH("ID",Vertices[[#Headers],[Vertex]:[Top Word Pairs in Tweet by Salience]],0),FALSE)</f>
        <v>139</v>
      </c>
    </row>
    <row r="139" spans="1:3" ht="15">
      <c r="A139" s="90" t="s">
        <v>2610</v>
      </c>
      <c r="B139" s="102" t="s">
        <v>437</v>
      </c>
      <c r="C139" s="89">
        <f>VLOOKUP(GroupVertices[[#This Row],[Vertex]],Vertices[],MATCH("ID",Vertices[[#Headers],[Vertex]:[Top Word Pairs in Tweet by Salience]],0),FALSE)</f>
        <v>138</v>
      </c>
    </row>
    <row r="140" spans="1:3" ht="15">
      <c r="A140" s="90" t="s">
        <v>2610</v>
      </c>
      <c r="B140" s="102" t="s">
        <v>287</v>
      </c>
      <c r="C140" s="89">
        <f>VLOOKUP(GroupVertices[[#This Row],[Vertex]],Vertices[],MATCH("ID",Vertices[[#Headers],[Vertex]:[Top Word Pairs in Tweet by Salience]],0),FALSE)</f>
        <v>10</v>
      </c>
    </row>
    <row r="141" spans="1:3" ht="15">
      <c r="A141" s="90" t="s">
        <v>2610</v>
      </c>
      <c r="B141" s="102" t="s">
        <v>270</v>
      </c>
      <c r="C141" s="89">
        <f>VLOOKUP(GroupVertices[[#This Row],[Vertex]],Vertices[],MATCH("ID",Vertices[[#Headers],[Vertex]:[Top Word Pairs in Tweet by Salience]],0),FALSE)</f>
        <v>107</v>
      </c>
    </row>
    <row r="142" spans="1:3" ht="15">
      <c r="A142" s="90" t="s">
        <v>2610</v>
      </c>
      <c r="B142" s="102" t="s">
        <v>428</v>
      </c>
      <c r="C142" s="89">
        <f>VLOOKUP(GroupVertices[[#This Row],[Vertex]],Vertices[],MATCH("ID",Vertices[[#Headers],[Vertex]:[Top Word Pairs in Tweet by Salience]],0),FALSE)</f>
        <v>111</v>
      </c>
    </row>
    <row r="143" spans="1:3" ht="15">
      <c r="A143" s="90" t="s">
        <v>2610</v>
      </c>
      <c r="B143" s="102" t="s">
        <v>427</v>
      </c>
      <c r="C143" s="89">
        <f>VLOOKUP(GroupVertices[[#This Row],[Vertex]],Vertices[],MATCH("ID",Vertices[[#Headers],[Vertex]:[Top Word Pairs in Tweet by Salience]],0),FALSE)</f>
        <v>110</v>
      </c>
    </row>
    <row r="144" spans="1:3" ht="15">
      <c r="A144" s="90" t="s">
        <v>2610</v>
      </c>
      <c r="B144" s="102" t="s">
        <v>426</v>
      </c>
      <c r="C144" s="89">
        <f>VLOOKUP(GroupVertices[[#This Row],[Vertex]],Vertices[],MATCH("ID",Vertices[[#Headers],[Vertex]:[Top Word Pairs in Tweet by Salience]],0),FALSE)</f>
        <v>109</v>
      </c>
    </row>
    <row r="145" spans="1:3" ht="15">
      <c r="A145" s="90" t="s">
        <v>2610</v>
      </c>
      <c r="B145" s="102" t="s">
        <v>425</v>
      </c>
      <c r="C145" s="89">
        <f>VLOOKUP(GroupVertices[[#This Row],[Vertex]],Vertices[],MATCH("ID",Vertices[[#Headers],[Vertex]:[Top Word Pairs in Tweet by Salience]],0),FALSE)</f>
        <v>108</v>
      </c>
    </row>
    <row r="146" spans="1:3" ht="15">
      <c r="A146" s="90" t="s">
        <v>2610</v>
      </c>
      <c r="B146" s="102" t="s">
        <v>260</v>
      </c>
      <c r="C146" s="89">
        <f>VLOOKUP(GroupVertices[[#This Row],[Vertex]],Vertices[],MATCH("ID",Vertices[[#Headers],[Vertex]:[Top Word Pairs in Tweet by Salience]],0),FALSE)</f>
        <v>81</v>
      </c>
    </row>
    <row r="147" spans="1:3" ht="15">
      <c r="A147" s="90" t="s">
        <v>2610</v>
      </c>
      <c r="B147" s="102" t="s">
        <v>232</v>
      </c>
      <c r="C147" s="89">
        <f>VLOOKUP(GroupVertices[[#This Row],[Vertex]],Vertices[],MATCH("ID",Vertices[[#Headers],[Vertex]:[Top Word Pairs in Tweet by Salience]],0),FALSE)</f>
        <v>17</v>
      </c>
    </row>
    <row r="148" spans="1:3" ht="15">
      <c r="A148" s="90" t="s">
        <v>2610</v>
      </c>
      <c r="B148" s="102" t="s">
        <v>229</v>
      </c>
      <c r="C148" s="89">
        <f>VLOOKUP(GroupVertices[[#This Row],[Vertex]],Vertices[],MATCH("ID",Vertices[[#Headers],[Vertex]:[Top Word Pairs in Tweet by Salience]],0),FALSE)</f>
        <v>11</v>
      </c>
    </row>
    <row r="149" spans="1:3" ht="15">
      <c r="A149" s="90" t="s">
        <v>2610</v>
      </c>
      <c r="B149" s="102" t="s">
        <v>228</v>
      </c>
      <c r="C149" s="89">
        <f>VLOOKUP(GroupVertices[[#This Row],[Vertex]],Vertices[],MATCH("ID",Vertices[[#Headers],[Vertex]:[Top Word Pairs in Tweet by Salience]],0),FALSE)</f>
        <v>9</v>
      </c>
    </row>
    <row r="150" spans="1:3" ht="15">
      <c r="A150" s="90" t="s">
        <v>2611</v>
      </c>
      <c r="B150" s="102" t="s">
        <v>369</v>
      </c>
      <c r="C150" s="89">
        <f>VLOOKUP(GroupVertices[[#This Row],[Vertex]],Vertices[],MATCH("ID",Vertices[[#Headers],[Vertex]:[Top Word Pairs in Tweet by Salience]],0),FALSE)</f>
        <v>278</v>
      </c>
    </row>
    <row r="151" spans="1:3" ht="15">
      <c r="A151" s="90" t="s">
        <v>2611</v>
      </c>
      <c r="B151" s="102" t="s">
        <v>349</v>
      </c>
      <c r="C151" s="89">
        <f>VLOOKUP(GroupVertices[[#This Row],[Vertex]],Vertices[],MATCH("ID",Vertices[[#Headers],[Vertex]:[Top Word Pairs in Tweet by Salience]],0),FALSE)</f>
        <v>16</v>
      </c>
    </row>
    <row r="152" spans="1:3" ht="15">
      <c r="A152" s="90" t="s">
        <v>2611</v>
      </c>
      <c r="B152" s="102" t="s">
        <v>501</v>
      </c>
      <c r="C152" s="89">
        <f>VLOOKUP(GroupVertices[[#This Row],[Vertex]],Vertices[],MATCH("ID",Vertices[[#Headers],[Vertex]:[Top Word Pairs in Tweet by Salience]],0),FALSE)</f>
        <v>263</v>
      </c>
    </row>
    <row r="153" spans="1:3" ht="15">
      <c r="A153" s="90" t="s">
        <v>2611</v>
      </c>
      <c r="B153" s="102" t="s">
        <v>364</v>
      </c>
      <c r="C153" s="89">
        <f>VLOOKUP(GroupVertices[[#This Row],[Vertex]],Vertices[],MATCH("ID",Vertices[[#Headers],[Vertex]:[Top Word Pairs in Tweet by Salience]],0),FALSE)</f>
        <v>272</v>
      </c>
    </row>
    <row r="154" spans="1:3" ht="15">
      <c r="A154" s="90" t="s">
        <v>2611</v>
      </c>
      <c r="B154" s="102" t="s">
        <v>503</v>
      </c>
      <c r="C154" s="89">
        <f>VLOOKUP(GroupVertices[[#This Row],[Vertex]],Vertices[],MATCH("ID",Vertices[[#Headers],[Vertex]:[Top Word Pairs in Tweet by Salience]],0),FALSE)</f>
        <v>273</v>
      </c>
    </row>
    <row r="155" spans="1:3" ht="15">
      <c r="A155" s="90" t="s">
        <v>2611</v>
      </c>
      <c r="B155" s="102" t="s">
        <v>363</v>
      </c>
      <c r="C155" s="89">
        <f>VLOOKUP(GroupVertices[[#This Row],[Vertex]],Vertices[],MATCH("ID",Vertices[[#Headers],[Vertex]:[Top Word Pairs in Tweet by Salience]],0),FALSE)</f>
        <v>271</v>
      </c>
    </row>
    <row r="156" spans="1:3" ht="15">
      <c r="A156" s="90" t="s">
        <v>2611</v>
      </c>
      <c r="B156" s="102" t="s">
        <v>361</v>
      </c>
      <c r="C156" s="89">
        <f>VLOOKUP(GroupVertices[[#This Row],[Vertex]],Vertices[],MATCH("ID",Vertices[[#Headers],[Vertex]:[Top Word Pairs in Tweet by Salience]],0),FALSE)</f>
        <v>269</v>
      </c>
    </row>
    <row r="157" spans="1:3" ht="15">
      <c r="A157" s="90" t="s">
        <v>2611</v>
      </c>
      <c r="B157" s="102" t="s">
        <v>432</v>
      </c>
      <c r="C157" s="89">
        <f>VLOOKUP(GroupVertices[[#This Row],[Vertex]],Vertices[],MATCH("ID",Vertices[[#Headers],[Vertex]:[Top Word Pairs in Tweet by Salience]],0),FALSE)</f>
        <v>118</v>
      </c>
    </row>
    <row r="158" spans="1:3" ht="15">
      <c r="A158" s="90" t="s">
        <v>2611</v>
      </c>
      <c r="B158" s="102" t="s">
        <v>360</v>
      </c>
      <c r="C158" s="89">
        <f>VLOOKUP(GroupVertices[[#This Row],[Vertex]],Vertices[],MATCH("ID",Vertices[[#Headers],[Vertex]:[Top Word Pairs in Tweet by Salience]],0),FALSE)</f>
        <v>267</v>
      </c>
    </row>
    <row r="159" spans="1:3" ht="15">
      <c r="A159" s="90" t="s">
        <v>2611</v>
      </c>
      <c r="B159" s="102" t="s">
        <v>502</v>
      </c>
      <c r="C159" s="89">
        <f>VLOOKUP(GroupVertices[[#This Row],[Vertex]],Vertices[],MATCH("ID",Vertices[[#Headers],[Vertex]:[Top Word Pairs in Tweet by Salience]],0),FALSE)</f>
        <v>268</v>
      </c>
    </row>
    <row r="160" spans="1:3" ht="15">
      <c r="A160" s="90" t="s">
        <v>2611</v>
      </c>
      <c r="B160" s="102" t="s">
        <v>355</v>
      </c>
      <c r="C160" s="89">
        <f>VLOOKUP(GroupVertices[[#This Row],[Vertex]],Vertices[],MATCH("ID",Vertices[[#Headers],[Vertex]:[Top Word Pairs in Tweet by Salience]],0),FALSE)</f>
        <v>262</v>
      </c>
    </row>
    <row r="161" spans="1:3" ht="15">
      <c r="A161" s="90" t="s">
        <v>2611</v>
      </c>
      <c r="B161" s="102" t="s">
        <v>500</v>
      </c>
      <c r="C161" s="89">
        <f>VLOOKUP(GroupVertices[[#This Row],[Vertex]],Vertices[],MATCH("ID",Vertices[[#Headers],[Vertex]:[Top Word Pairs in Tweet by Salience]],0),FALSE)</f>
        <v>257</v>
      </c>
    </row>
    <row r="162" spans="1:3" ht="15">
      <c r="A162" s="90" t="s">
        <v>2611</v>
      </c>
      <c r="B162" s="102" t="s">
        <v>350</v>
      </c>
      <c r="C162" s="89">
        <f>VLOOKUP(GroupVertices[[#This Row],[Vertex]],Vertices[],MATCH("ID",Vertices[[#Headers],[Vertex]:[Top Word Pairs in Tweet by Salience]],0),FALSE)</f>
        <v>177</v>
      </c>
    </row>
    <row r="163" spans="1:3" ht="15">
      <c r="A163" s="90" t="s">
        <v>2611</v>
      </c>
      <c r="B163" s="102" t="s">
        <v>499</v>
      </c>
      <c r="C163" s="89">
        <f>VLOOKUP(GroupVertices[[#This Row],[Vertex]],Vertices[],MATCH("ID",Vertices[[#Headers],[Vertex]:[Top Word Pairs in Tweet by Salience]],0),FALSE)</f>
        <v>256</v>
      </c>
    </row>
    <row r="164" spans="1:3" ht="15">
      <c r="A164" s="90" t="s">
        <v>2611</v>
      </c>
      <c r="B164" s="102" t="s">
        <v>498</v>
      </c>
      <c r="C164" s="89">
        <f>VLOOKUP(GroupVertices[[#This Row],[Vertex]],Vertices[],MATCH("ID",Vertices[[#Headers],[Vertex]:[Top Word Pairs in Tweet by Salience]],0),FALSE)</f>
        <v>255</v>
      </c>
    </row>
    <row r="165" spans="1:3" ht="15">
      <c r="A165" s="90" t="s">
        <v>2611</v>
      </c>
      <c r="B165" s="102" t="s">
        <v>497</v>
      </c>
      <c r="C165" s="89">
        <f>VLOOKUP(GroupVertices[[#This Row],[Vertex]],Vertices[],MATCH("ID",Vertices[[#Headers],[Vertex]:[Top Word Pairs in Tweet by Salience]],0),FALSE)</f>
        <v>254</v>
      </c>
    </row>
    <row r="166" spans="1:3" ht="15">
      <c r="A166" s="90" t="s">
        <v>2611</v>
      </c>
      <c r="B166" s="102" t="s">
        <v>496</v>
      </c>
      <c r="C166" s="89">
        <f>VLOOKUP(GroupVertices[[#This Row],[Vertex]],Vertices[],MATCH("ID",Vertices[[#Headers],[Vertex]:[Top Word Pairs in Tweet by Salience]],0),FALSE)</f>
        <v>253</v>
      </c>
    </row>
    <row r="167" spans="1:3" ht="15">
      <c r="A167" s="90" t="s">
        <v>2611</v>
      </c>
      <c r="B167" s="102" t="s">
        <v>343</v>
      </c>
      <c r="C167" s="89">
        <f>VLOOKUP(GroupVertices[[#This Row],[Vertex]],Vertices[],MATCH("ID",Vertices[[#Headers],[Vertex]:[Top Word Pairs in Tweet by Salience]],0),FALSE)</f>
        <v>247</v>
      </c>
    </row>
    <row r="168" spans="1:3" ht="15">
      <c r="A168" s="90" t="s">
        <v>2611</v>
      </c>
      <c r="B168" s="102" t="s">
        <v>436</v>
      </c>
      <c r="C168" s="89">
        <f>VLOOKUP(GroupVertices[[#This Row],[Vertex]],Vertices[],MATCH("ID",Vertices[[#Headers],[Vertex]:[Top Word Pairs in Tweet by Salience]],0),FALSE)</f>
        <v>131</v>
      </c>
    </row>
    <row r="169" spans="1:3" ht="15">
      <c r="A169" s="90" t="s">
        <v>2611</v>
      </c>
      <c r="B169" s="102" t="s">
        <v>308</v>
      </c>
      <c r="C169" s="89">
        <f>VLOOKUP(GroupVertices[[#This Row],[Vertex]],Vertices[],MATCH("ID",Vertices[[#Headers],[Vertex]:[Top Word Pairs in Tweet by Salience]],0),FALSE)</f>
        <v>190</v>
      </c>
    </row>
    <row r="170" spans="1:3" ht="15">
      <c r="A170" s="90" t="s">
        <v>2611</v>
      </c>
      <c r="B170" s="102" t="s">
        <v>300</v>
      </c>
      <c r="C170" s="89">
        <f>VLOOKUP(GroupVertices[[#This Row],[Vertex]],Vertices[],MATCH("ID",Vertices[[#Headers],[Vertex]:[Top Word Pairs in Tweet by Salience]],0),FALSE)</f>
        <v>180</v>
      </c>
    </row>
    <row r="171" spans="1:3" ht="15">
      <c r="A171" s="90" t="s">
        <v>2611</v>
      </c>
      <c r="B171" s="102" t="s">
        <v>282</v>
      </c>
      <c r="C171" s="89">
        <f>VLOOKUP(GroupVertices[[#This Row],[Vertex]],Vertices[],MATCH("ID",Vertices[[#Headers],[Vertex]:[Top Word Pairs in Tweet by Salience]],0),FALSE)</f>
        <v>130</v>
      </c>
    </row>
    <row r="172" spans="1:3" ht="15">
      <c r="A172" s="90" t="s">
        <v>2611</v>
      </c>
      <c r="B172" s="102" t="s">
        <v>280</v>
      </c>
      <c r="C172" s="89">
        <f>VLOOKUP(GroupVertices[[#This Row],[Vertex]],Vertices[],MATCH("ID",Vertices[[#Headers],[Vertex]:[Top Word Pairs in Tweet by Salience]],0),FALSE)</f>
        <v>127</v>
      </c>
    </row>
    <row r="173" spans="1:3" ht="15">
      <c r="A173" s="90" t="s">
        <v>2611</v>
      </c>
      <c r="B173" s="102" t="s">
        <v>279</v>
      </c>
      <c r="C173" s="89">
        <f>VLOOKUP(GroupVertices[[#This Row],[Vertex]],Vertices[],MATCH("ID",Vertices[[#Headers],[Vertex]:[Top Word Pairs in Tweet by Salience]],0),FALSE)</f>
        <v>126</v>
      </c>
    </row>
    <row r="174" spans="1:3" ht="15">
      <c r="A174" s="90" t="s">
        <v>2611</v>
      </c>
      <c r="B174" s="102" t="s">
        <v>278</v>
      </c>
      <c r="C174" s="89">
        <f>VLOOKUP(GroupVertices[[#This Row],[Vertex]],Vertices[],MATCH("ID",Vertices[[#Headers],[Vertex]:[Top Word Pairs in Tweet by Salience]],0),FALSE)</f>
        <v>125</v>
      </c>
    </row>
    <row r="175" spans="1:3" ht="15">
      <c r="A175" s="90" t="s">
        <v>2611</v>
      </c>
      <c r="B175" s="102" t="s">
        <v>277</v>
      </c>
      <c r="C175" s="89">
        <f>VLOOKUP(GroupVertices[[#This Row],[Vertex]],Vertices[],MATCH("ID",Vertices[[#Headers],[Vertex]:[Top Word Pairs in Tweet by Salience]],0),FALSE)</f>
        <v>124</v>
      </c>
    </row>
    <row r="176" spans="1:3" ht="15">
      <c r="A176" s="90" t="s">
        <v>2611</v>
      </c>
      <c r="B176" s="102" t="s">
        <v>276</v>
      </c>
      <c r="C176" s="89">
        <f>VLOOKUP(GroupVertices[[#This Row],[Vertex]],Vertices[],MATCH("ID",Vertices[[#Headers],[Vertex]:[Top Word Pairs in Tweet by Salience]],0),FALSE)</f>
        <v>123</v>
      </c>
    </row>
    <row r="177" spans="1:3" ht="15">
      <c r="A177" s="90" t="s">
        <v>2611</v>
      </c>
      <c r="B177" s="102" t="s">
        <v>275</v>
      </c>
      <c r="C177" s="89">
        <f>VLOOKUP(GroupVertices[[#This Row],[Vertex]],Vertices[],MATCH("ID",Vertices[[#Headers],[Vertex]:[Top Word Pairs in Tweet by Salience]],0),FALSE)</f>
        <v>122</v>
      </c>
    </row>
    <row r="178" spans="1:3" ht="15">
      <c r="A178" s="90" t="s">
        <v>2611</v>
      </c>
      <c r="B178" s="102" t="s">
        <v>273</v>
      </c>
      <c r="C178" s="89">
        <f>VLOOKUP(GroupVertices[[#This Row],[Vertex]],Vertices[],MATCH("ID",Vertices[[#Headers],[Vertex]:[Top Word Pairs in Tweet by Salience]],0),FALSE)</f>
        <v>117</v>
      </c>
    </row>
    <row r="179" spans="1:3" ht="15">
      <c r="A179" s="90" t="s">
        <v>2611</v>
      </c>
      <c r="B179" s="102" t="s">
        <v>348</v>
      </c>
      <c r="C179" s="89">
        <f>VLOOKUP(GroupVertices[[#This Row],[Vertex]],Vertices[],MATCH("ID",Vertices[[#Headers],[Vertex]:[Top Word Pairs in Tweet by Salience]],0),FALSE)</f>
        <v>15</v>
      </c>
    </row>
    <row r="180" spans="1:3" ht="15">
      <c r="A180" s="90" t="s">
        <v>2611</v>
      </c>
      <c r="B180" s="102" t="s">
        <v>231</v>
      </c>
      <c r="C180" s="89">
        <f>VLOOKUP(GroupVertices[[#This Row],[Vertex]],Vertices[],MATCH("ID",Vertices[[#Headers],[Vertex]:[Top Word Pairs in Tweet by Salience]],0),FALSE)</f>
        <v>14</v>
      </c>
    </row>
    <row r="181" spans="1:3" ht="15">
      <c r="A181" s="90" t="s">
        <v>2612</v>
      </c>
      <c r="B181" s="102" t="s">
        <v>376</v>
      </c>
      <c r="C181" s="89">
        <f>VLOOKUP(GroupVertices[[#This Row],[Vertex]],Vertices[],MATCH("ID",Vertices[[#Headers],[Vertex]:[Top Word Pairs in Tweet by Salience]],0),FALSE)</f>
        <v>293</v>
      </c>
    </row>
    <row r="182" spans="1:3" ht="15">
      <c r="A182" s="90" t="s">
        <v>2612</v>
      </c>
      <c r="B182" s="102" t="s">
        <v>520</v>
      </c>
      <c r="C182" s="89">
        <f>VLOOKUP(GroupVertices[[#This Row],[Vertex]],Vertices[],MATCH("ID",Vertices[[#Headers],[Vertex]:[Top Word Pairs in Tweet by Salience]],0),FALSE)</f>
        <v>297</v>
      </c>
    </row>
    <row r="183" spans="1:3" ht="15">
      <c r="A183" s="90" t="s">
        <v>2612</v>
      </c>
      <c r="B183" s="102" t="s">
        <v>519</v>
      </c>
      <c r="C183" s="89">
        <f>VLOOKUP(GroupVertices[[#This Row],[Vertex]],Vertices[],MATCH("ID",Vertices[[#Headers],[Vertex]:[Top Word Pairs in Tweet by Salience]],0),FALSE)</f>
        <v>296</v>
      </c>
    </row>
    <row r="184" spans="1:3" ht="15">
      <c r="A184" s="90" t="s">
        <v>2612</v>
      </c>
      <c r="B184" s="102" t="s">
        <v>518</v>
      </c>
      <c r="C184" s="89">
        <f>VLOOKUP(GroupVertices[[#This Row],[Vertex]],Vertices[],MATCH("ID",Vertices[[#Headers],[Vertex]:[Top Word Pairs in Tweet by Salience]],0),FALSE)</f>
        <v>295</v>
      </c>
    </row>
    <row r="185" spans="1:3" ht="15">
      <c r="A185" s="90" t="s">
        <v>2612</v>
      </c>
      <c r="B185" s="102" t="s">
        <v>517</v>
      </c>
      <c r="C185" s="89">
        <f>VLOOKUP(GroupVertices[[#This Row],[Vertex]],Vertices[],MATCH("ID",Vertices[[#Headers],[Vertex]:[Top Word Pairs in Tweet by Salience]],0),FALSE)</f>
        <v>294</v>
      </c>
    </row>
    <row r="186" spans="1:3" ht="15">
      <c r="A186" s="90" t="s">
        <v>2612</v>
      </c>
      <c r="B186" s="102" t="s">
        <v>375</v>
      </c>
      <c r="C186" s="89">
        <f>VLOOKUP(GroupVertices[[#This Row],[Vertex]],Vertices[],MATCH("ID",Vertices[[#Headers],[Vertex]:[Top Word Pairs in Tweet by Salience]],0),FALSE)</f>
        <v>292</v>
      </c>
    </row>
    <row r="187" spans="1:3" ht="15">
      <c r="A187" s="90" t="s">
        <v>2612</v>
      </c>
      <c r="B187" s="102" t="s">
        <v>384</v>
      </c>
      <c r="C187" s="89">
        <f>VLOOKUP(GroupVertices[[#This Row],[Vertex]],Vertices[],MATCH("ID",Vertices[[#Headers],[Vertex]:[Top Word Pairs in Tweet by Salience]],0),FALSE)</f>
        <v>25</v>
      </c>
    </row>
    <row r="188" spans="1:3" ht="15">
      <c r="A188" s="90" t="s">
        <v>2612</v>
      </c>
      <c r="B188" s="102" t="s">
        <v>344</v>
      </c>
      <c r="C188" s="89">
        <f>VLOOKUP(GroupVertices[[#This Row],[Vertex]],Vertices[],MATCH("ID",Vertices[[#Headers],[Vertex]:[Top Word Pairs in Tweet by Salience]],0),FALSE)</f>
        <v>248</v>
      </c>
    </row>
    <row r="189" spans="1:3" ht="15">
      <c r="A189" s="90" t="s">
        <v>2612</v>
      </c>
      <c r="B189" s="102" t="s">
        <v>385</v>
      </c>
      <c r="C189" s="89">
        <f>VLOOKUP(GroupVertices[[#This Row],[Vertex]],Vertices[],MATCH("ID",Vertices[[#Headers],[Vertex]:[Top Word Pairs in Tweet by Salience]],0),FALSE)</f>
        <v>26</v>
      </c>
    </row>
    <row r="190" spans="1:3" ht="15">
      <c r="A190" s="90" t="s">
        <v>2612</v>
      </c>
      <c r="B190" s="102" t="s">
        <v>494</v>
      </c>
      <c r="C190" s="89">
        <f>VLOOKUP(GroupVertices[[#This Row],[Vertex]],Vertices[],MATCH("ID",Vertices[[#Headers],[Vertex]:[Top Word Pairs in Tweet by Salience]],0),FALSE)</f>
        <v>245</v>
      </c>
    </row>
    <row r="191" spans="1:3" ht="15">
      <c r="A191" s="90" t="s">
        <v>2612</v>
      </c>
      <c r="B191" s="102" t="s">
        <v>341</v>
      </c>
      <c r="C191" s="89">
        <f>VLOOKUP(GroupVertices[[#This Row],[Vertex]],Vertices[],MATCH("ID",Vertices[[#Headers],[Vertex]:[Top Word Pairs in Tweet by Salience]],0),FALSE)</f>
        <v>76</v>
      </c>
    </row>
    <row r="192" spans="1:3" ht="15">
      <c r="A192" s="90" t="s">
        <v>2612</v>
      </c>
      <c r="B192" s="102" t="s">
        <v>493</v>
      </c>
      <c r="C192" s="89">
        <f>VLOOKUP(GroupVertices[[#This Row],[Vertex]],Vertices[],MATCH("ID",Vertices[[#Headers],[Vertex]:[Top Word Pairs in Tweet by Salience]],0),FALSE)</f>
        <v>244</v>
      </c>
    </row>
    <row r="193" spans="1:3" ht="15">
      <c r="A193" s="90" t="s">
        <v>2612</v>
      </c>
      <c r="B193" s="102" t="s">
        <v>492</v>
      </c>
      <c r="C193" s="89">
        <f>VLOOKUP(GroupVertices[[#This Row],[Vertex]],Vertices[],MATCH("ID",Vertices[[#Headers],[Vertex]:[Top Word Pairs in Tweet by Salience]],0),FALSE)</f>
        <v>243</v>
      </c>
    </row>
    <row r="194" spans="1:3" ht="15">
      <c r="A194" s="90" t="s">
        <v>2612</v>
      </c>
      <c r="B194" s="102" t="s">
        <v>491</v>
      </c>
      <c r="C194" s="89">
        <f>VLOOKUP(GroupVertices[[#This Row],[Vertex]],Vertices[],MATCH("ID",Vertices[[#Headers],[Vertex]:[Top Word Pairs in Tweet by Salience]],0),FALSE)</f>
        <v>242</v>
      </c>
    </row>
    <row r="195" spans="1:3" ht="15">
      <c r="A195" s="90" t="s">
        <v>2612</v>
      </c>
      <c r="B195" s="102" t="s">
        <v>490</v>
      </c>
      <c r="C195" s="89">
        <f>VLOOKUP(GroupVertices[[#This Row],[Vertex]],Vertices[],MATCH("ID",Vertices[[#Headers],[Vertex]:[Top Word Pairs in Tweet by Salience]],0),FALSE)</f>
        <v>241</v>
      </c>
    </row>
    <row r="196" spans="1:3" ht="15">
      <c r="A196" s="90" t="s">
        <v>2612</v>
      </c>
      <c r="B196" s="102" t="s">
        <v>489</v>
      </c>
      <c r="C196" s="89">
        <f>VLOOKUP(GroupVertices[[#This Row],[Vertex]],Vertices[],MATCH("ID",Vertices[[#Headers],[Vertex]:[Top Word Pairs in Tweet by Salience]],0),FALSE)</f>
        <v>240</v>
      </c>
    </row>
    <row r="197" spans="1:3" ht="15">
      <c r="A197" s="90" t="s">
        <v>2612</v>
      </c>
      <c r="B197" s="102" t="s">
        <v>488</v>
      </c>
      <c r="C197" s="89">
        <f>VLOOKUP(GroupVertices[[#This Row],[Vertex]],Vertices[],MATCH("ID",Vertices[[#Headers],[Vertex]:[Top Word Pairs in Tweet by Salience]],0),FALSE)</f>
        <v>239</v>
      </c>
    </row>
    <row r="198" spans="1:3" ht="15">
      <c r="A198" s="90" t="s">
        <v>2612</v>
      </c>
      <c r="B198" s="102" t="s">
        <v>258</v>
      </c>
      <c r="C198" s="89">
        <f>VLOOKUP(GroupVertices[[#This Row],[Vertex]],Vertices[],MATCH("ID",Vertices[[#Headers],[Vertex]:[Top Word Pairs in Tweet by Salience]],0),FALSE)</f>
        <v>73</v>
      </c>
    </row>
    <row r="199" spans="1:3" ht="15">
      <c r="A199" s="90" t="s">
        <v>2612</v>
      </c>
      <c r="B199" s="102" t="s">
        <v>406</v>
      </c>
      <c r="C199" s="89">
        <f>VLOOKUP(GroupVertices[[#This Row],[Vertex]],Vertices[],MATCH("ID",Vertices[[#Headers],[Vertex]:[Top Word Pairs in Tweet by Salience]],0),FALSE)</f>
        <v>75</v>
      </c>
    </row>
    <row r="200" spans="1:3" ht="15">
      <c r="A200" s="90" t="s">
        <v>2612</v>
      </c>
      <c r="B200" s="102" t="s">
        <v>405</v>
      </c>
      <c r="C200" s="89">
        <f>VLOOKUP(GroupVertices[[#This Row],[Vertex]],Vertices[],MATCH("ID",Vertices[[#Headers],[Vertex]:[Top Word Pairs in Tweet by Salience]],0),FALSE)</f>
        <v>74</v>
      </c>
    </row>
    <row r="201" spans="1:3" ht="15">
      <c r="A201" s="90" t="s">
        <v>2612</v>
      </c>
      <c r="B201" s="102" t="s">
        <v>255</v>
      </c>
      <c r="C201" s="89">
        <f>VLOOKUP(GroupVertices[[#This Row],[Vertex]],Vertices[],MATCH("ID",Vertices[[#Headers],[Vertex]:[Top Word Pairs in Tweet by Salience]],0),FALSE)</f>
        <v>67</v>
      </c>
    </row>
    <row r="202" spans="1:3" ht="15">
      <c r="A202" s="90" t="s">
        <v>2612</v>
      </c>
      <c r="B202" s="102" t="s">
        <v>403</v>
      </c>
      <c r="C202" s="89">
        <f>VLOOKUP(GroupVertices[[#This Row],[Vertex]],Vertices[],MATCH("ID",Vertices[[#Headers],[Vertex]:[Top Word Pairs in Tweet by Salience]],0),FALSE)</f>
        <v>68</v>
      </c>
    </row>
    <row r="203" spans="1:3" ht="15">
      <c r="A203" s="90" t="s">
        <v>2612</v>
      </c>
      <c r="B203" s="102" t="s">
        <v>235</v>
      </c>
      <c r="C203" s="89">
        <f>VLOOKUP(GroupVertices[[#This Row],[Vertex]],Vertices[],MATCH("ID",Vertices[[#Headers],[Vertex]:[Top Word Pairs in Tweet by Salience]],0),FALSE)</f>
        <v>23</v>
      </c>
    </row>
    <row r="204" spans="1:3" ht="15">
      <c r="A204" s="90" t="s">
        <v>2612</v>
      </c>
      <c r="B204" s="102" t="s">
        <v>383</v>
      </c>
      <c r="C204" s="89">
        <f>VLOOKUP(GroupVertices[[#This Row],[Vertex]],Vertices[],MATCH("ID",Vertices[[#Headers],[Vertex]:[Top Word Pairs in Tweet by Salience]],0),FALSE)</f>
        <v>24</v>
      </c>
    </row>
    <row r="205" spans="1:3" ht="15">
      <c r="A205" s="90" t="s">
        <v>2613</v>
      </c>
      <c r="B205" s="102" t="s">
        <v>390</v>
      </c>
      <c r="C205" s="89">
        <f>VLOOKUP(GroupVertices[[#This Row],[Vertex]],Vertices[],MATCH("ID",Vertices[[#Headers],[Vertex]:[Top Word Pairs in Tweet by Salience]],0),FALSE)</f>
        <v>35</v>
      </c>
    </row>
    <row r="206" spans="1:3" ht="15">
      <c r="A206" s="90" t="s">
        <v>2613</v>
      </c>
      <c r="B206" s="102" t="s">
        <v>262</v>
      </c>
      <c r="C206" s="89">
        <f>VLOOKUP(GroupVertices[[#This Row],[Vertex]],Vertices[],MATCH("ID",Vertices[[#Headers],[Vertex]:[Top Word Pairs in Tweet by Salience]],0),FALSE)</f>
        <v>84</v>
      </c>
    </row>
    <row r="207" spans="1:3" ht="15">
      <c r="A207" s="90" t="s">
        <v>2613</v>
      </c>
      <c r="B207" s="102" t="s">
        <v>256</v>
      </c>
      <c r="C207" s="89">
        <f>VLOOKUP(GroupVertices[[#This Row],[Vertex]],Vertices[],MATCH("ID",Vertices[[#Headers],[Vertex]:[Top Word Pairs in Tweet by Salience]],0),FALSE)</f>
        <v>69</v>
      </c>
    </row>
    <row r="208" spans="1:3" ht="15">
      <c r="A208" s="90" t="s">
        <v>2613</v>
      </c>
      <c r="B208" s="102" t="s">
        <v>404</v>
      </c>
      <c r="C208" s="89">
        <f>VLOOKUP(GroupVertices[[#This Row],[Vertex]],Vertices[],MATCH("ID",Vertices[[#Headers],[Vertex]:[Top Word Pairs in Tweet by Salience]],0),FALSE)</f>
        <v>70</v>
      </c>
    </row>
    <row r="209" spans="1:3" ht="15">
      <c r="A209" s="90" t="s">
        <v>2613</v>
      </c>
      <c r="B209" s="102" t="s">
        <v>388</v>
      </c>
      <c r="C209" s="89">
        <f>VLOOKUP(GroupVertices[[#This Row],[Vertex]],Vertices[],MATCH("ID",Vertices[[#Headers],[Vertex]:[Top Word Pairs in Tweet by Salience]],0),FALSE)</f>
        <v>33</v>
      </c>
    </row>
    <row r="210" spans="1:3" ht="15">
      <c r="A210" s="90" t="s">
        <v>2613</v>
      </c>
      <c r="B210" s="102" t="s">
        <v>246</v>
      </c>
      <c r="C210" s="89">
        <f>VLOOKUP(GroupVertices[[#This Row],[Vertex]],Vertices[],MATCH("ID",Vertices[[#Headers],[Vertex]:[Top Word Pairs in Tweet by Salience]],0),FALSE)</f>
        <v>48</v>
      </c>
    </row>
    <row r="211" spans="1:3" ht="15">
      <c r="A211" s="90" t="s">
        <v>2613</v>
      </c>
      <c r="B211" s="102" t="s">
        <v>393</v>
      </c>
      <c r="C211" s="89">
        <f>VLOOKUP(GroupVertices[[#This Row],[Vertex]],Vertices[],MATCH("ID",Vertices[[#Headers],[Vertex]:[Top Word Pairs in Tweet by Salience]],0),FALSE)</f>
        <v>47</v>
      </c>
    </row>
    <row r="212" spans="1:3" ht="15">
      <c r="A212" s="90" t="s">
        <v>2613</v>
      </c>
      <c r="B212" s="102" t="s">
        <v>245</v>
      </c>
      <c r="C212" s="89">
        <f>VLOOKUP(GroupVertices[[#This Row],[Vertex]],Vertices[],MATCH("ID",Vertices[[#Headers],[Vertex]:[Top Word Pairs in Tweet by Salience]],0),FALSE)</f>
        <v>46</v>
      </c>
    </row>
    <row r="213" spans="1:3" ht="15">
      <c r="A213" s="90" t="s">
        <v>2613</v>
      </c>
      <c r="B213" s="102" t="s">
        <v>240</v>
      </c>
      <c r="C213" s="89">
        <f>VLOOKUP(GroupVertices[[#This Row],[Vertex]],Vertices[],MATCH("ID",Vertices[[#Headers],[Vertex]:[Top Word Pairs in Tweet by Salience]],0),FALSE)</f>
        <v>37</v>
      </c>
    </row>
    <row r="214" spans="1:3" ht="15">
      <c r="A214" s="90" t="s">
        <v>2613</v>
      </c>
      <c r="B214" s="102" t="s">
        <v>391</v>
      </c>
      <c r="C214" s="89">
        <f>VLOOKUP(GroupVertices[[#This Row],[Vertex]],Vertices[],MATCH("ID",Vertices[[#Headers],[Vertex]:[Top Word Pairs in Tweet by Salience]],0),FALSE)</f>
        <v>38</v>
      </c>
    </row>
    <row r="215" spans="1:3" ht="15">
      <c r="A215" s="90" t="s">
        <v>2613</v>
      </c>
      <c r="B215" s="102" t="s">
        <v>389</v>
      </c>
      <c r="C215" s="89">
        <f>VLOOKUP(GroupVertices[[#This Row],[Vertex]],Vertices[],MATCH("ID",Vertices[[#Headers],[Vertex]:[Top Word Pairs in Tweet by Salience]],0),FALSE)</f>
        <v>34</v>
      </c>
    </row>
    <row r="216" spans="1:3" ht="15">
      <c r="A216" s="90" t="s">
        <v>2613</v>
      </c>
      <c r="B216" s="102" t="s">
        <v>387</v>
      </c>
      <c r="C216" s="89">
        <f>VLOOKUP(GroupVertices[[#This Row],[Vertex]],Vertices[],MATCH("ID",Vertices[[#Headers],[Vertex]:[Top Word Pairs in Tweet by Salience]],0),FALSE)</f>
        <v>32</v>
      </c>
    </row>
    <row r="217" spans="1:3" ht="15">
      <c r="A217" s="90" t="s">
        <v>2613</v>
      </c>
      <c r="B217" s="102" t="s">
        <v>238</v>
      </c>
      <c r="C217" s="89">
        <f>VLOOKUP(GroupVertices[[#This Row],[Vertex]],Vertices[],MATCH("ID",Vertices[[#Headers],[Vertex]:[Top Word Pairs in Tweet by Salience]],0),FALSE)</f>
        <v>31</v>
      </c>
    </row>
    <row r="218" spans="1:3" ht="15">
      <c r="A218" s="90" t="s">
        <v>2614</v>
      </c>
      <c r="B218" s="102" t="s">
        <v>266</v>
      </c>
      <c r="C218" s="89">
        <f>VLOOKUP(GroupVertices[[#This Row],[Vertex]],Vertices[],MATCH("ID",Vertices[[#Headers],[Vertex]:[Top Word Pairs in Tweet by Salience]],0),FALSE)</f>
        <v>77</v>
      </c>
    </row>
    <row r="219" spans="1:3" ht="15">
      <c r="A219" s="90" t="s">
        <v>2614</v>
      </c>
      <c r="B219" s="102" t="s">
        <v>422</v>
      </c>
      <c r="C219" s="89">
        <f>VLOOKUP(GroupVertices[[#This Row],[Vertex]],Vertices[],MATCH("ID",Vertices[[#Headers],[Vertex]:[Top Word Pairs in Tweet by Salience]],0),FALSE)</f>
        <v>101</v>
      </c>
    </row>
    <row r="220" spans="1:3" ht="15">
      <c r="A220" s="90" t="s">
        <v>2614</v>
      </c>
      <c r="B220" s="102" t="s">
        <v>265</v>
      </c>
      <c r="C220" s="89">
        <f>VLOOKUP(GroupVertices[[#This Row],[Vertex]],Vertices[],MATCH("ID",Vertices[[#Headers],[Vertex]:[Top Word Pairs in Tweet by Salience]],0),FALSE)</f>
        <v>90</v>
      </c>
    </row>
    <row r="221" spans="1:3" ht="15">
      <c r="A221" s="90" t="s">
        <v>2614</v>
      </c>
      <c r="B221" s="102" t="s">
        <v>421</v>
      </c>
      <c r="C221" s="89">
        <f>VLOOKUP(GroupVertices[[#This Row],[Vertex]],Vertices[],MATCH("ID",Vertices[[#Headers],[Vertex]:[Top Word Pairs in Tweet by Salience]],0),FALSE)</f>
        <v>100</v>
      </c>
    </row>
    <row r="222" spans="1:3" ht="15">
      <c r="A222" s="90" t="s">
        <v>2614</v>
      </c>
      <c r="B222" s="102" t="s">
        <v>420</v>
      </c>
      <c r="C222" s="89">
        <f>VLOOKUP(GroupVertices[[#This Row],[Vertex]],Vertices[],MATCH("ID",Vertices[[#Headers],[Vertex]:[Top Word Pairs in Tweet by Salience]],0),FALSE)</f>
        <v>99</v>
      </c>
    </row>
    <row r="223" spans="1:3" ht="15">
      <c r="A223" s="90" t="s">
        <v>2614</v>
      </c>
      <c r="B223" s="102" t="s">
        <v>307</v>
      </c>
      <c r="C223" s="89">
        <f>VLOOKUP(GroupVertices[[#This Row],[Vertex]],Vertices[],MATCH("ID",Vertices[[#Headers],[Vertex]:[Top Word Pairs in Tweet by Salience]],0),FALSE)</f>
        <v>98</v>
      </c>
    </row>
    <row r="224" spans="1:3" ht="15">
      <c r="A224" s="90" t="s">
        <v>2614</v>
      </c>
      <c r="B224" s="102" t="s">
        <v>419</v>
      </c>
      <c r="C224" s="89">
        <f>VLOOKUP(GroupVertices[[#This Row],[Vertex]],Vertices[],MATCH("ID",Vertices[[#Headers],[Vertex]:[Top Word Pairs in Tweet by Salience]],0),FALSE)</f>
        <v>97</v>
      </c>
    </row>
    <row r="225" spans="1:3" ht="15">
      <c r="A225" s="90" t="s">
        <v>2614</v>
      </c>
      <c r="B225" s="102" t="s">
        <v>418</v>
      </c>
      <c r="C225" s="89">
        <f>VLOOKUP(GroupVertices[[#This Row],[Vertex]],Vertices[],MATCH("ID",Vertices[[#Headers],[Vertex]:[Top Word Pairs in Tweet by Salience]],0),FALSE)</f>
        <v>96</v>
      </c>
    </row>
    <row r="226" spans="1:3" ht="15">
      <c r="A226" s="90" t="s">
        <v>2614</v>
      </c>
      <c r="B226" s="102" t="s">
        <v>417</v>
      </c>
      <c r="C226" s="89">
        <f>VLOOKUP(GroupVertices[[#This Row],[Vertex]],Vertices[],MATCH("ID",Vertices[[#Headers],[Vertex]:[Top Word Pairs in Tweet by Salience]],0),FALSE)</f>
        <v>95</v>
      </c>
    </row>
    <row r="227" spans="1:3" ht="15">
      <c r="A227" s="90" t="s">
        <v>2614</v>
      </c>
      <c r="B227" s="102" t="s">
        <v>416</v>
      </c>
      <c r="C227" s="89">
        <f>VLOOKUP(GroupVertices[[#This Row],[Vertex]],Vertices[],MATCH("ID",Vertices[[#Headers],[Vertex]:[Top Word Pairs in Tweet by Salience]],0),FALSE)</f>
        <v>94</v>
      </c>
    </row>
    <row r="228" spans="1:3" ht="15">
      <c r="A228" s="90" t="s">
        <v>2614</v>
      </c>
      <c r="B228" s="102" t="s">
        <v>415</v>
      </c>
      <c r="C228" s="89">
        <f>VLOOKUP(GroupVertices[[#This Row],[Vertex]],Vertices[],MATCH("ID",Vertices[[#Headers],[Vertex]:[Top Word Pairs in Tweet by Salience]],0),FALSE)</f>
        <v>93</v>
      </c>
    </row>
    <row r="229" spans="1:3" ht="15">
      <c r="A229" s="90" t="s">
        <v>2614</v>
      </c>
      <c r="B229" s="102" t="s">
        <v>414</v>
      </c>
      <c r="C229" s="89">
        <f>VLOOKUP(GroupVertices[[#This Row],[Vertex]],Vertices[],MATCH("ID",Vertices[[#Headers],[Vertex]:[Top Word Pairs in Tweet by Salience]],0),FALSE)</f>
        <v>92</v>
      </c>
    </row>
    <row r="230" spans="1:3" ht="15">
      <c r="A230" s="90" t="s">
        <v>2614</v>
      </c>
      <c r="B230" s="102" t="s">
        <v>413</v>
      </c>
      <c r="C230" s="89">
        <f>VLOOKUP(GroupVertices[[#This Row],[Vertex]],Vertices[],MATCH("ID",Vertices[[#Headers],[Vertex]:[Top Word Pairs in Tweet by Salience]],0),FALSE)</f>
        <v>91</v>
      </c>
    </row>
    <row r="231" spans="1:3" ht="15">
      <c r="A231" s="90" t="s">
        <v>2615</v>
      </c>
      <c r="B231" s="102" t="s">
        <v>359</v>
      </c>
      <c r="C231" s="89">
        <f>VLOOKUP(GroupVertices[[#This Row],[Vertex]],Vertices[],MATCH("ID",Vertices[[#Headers],[Vertex]:[Top Word Pairs in Tweet by Salience]],0),FALSE)</f>
        <v>266</v>
      </c>
    </row>
    <row r="232" spans="1:3" ht="15">
      <c r="A232" s="90" t="s">
        <v>2615</v>
      </c>
      <c r="B232" s="102" t="s">
        <v>399</v>
      </c>
      <c r="C232" s="89">
        <f>VLOOKUP(GroupVertices[[#This Row],[Vertex]],Vertices[],MATCH("ID",Vertices[[#Headers],[Vertex]:[Top Word Pairs in Tweet by Salience]],0),FALSE)</f>
        <v>57</v>
      </c>
    </row>
    <row r="233" spans="1:3" ht="15">
      <c r="A233" s="90" t="s">
        <v>2615</v>
      </c>
      <c r="B233" s="102" t="s">
        <v>271</v>
      </c>
      <c r="C233" s="89">
        <f>VLOOKUP(GroupVertices[[#This Row],[Vertex]],Vertices[],MATCH("ID",Vertices[[#Headers],[Vertex]:[Top Word Pairs in Tweet by Salience]],0),FALSE)</f>
        <v>54</v>
      </c>
    </row>
    <row r="234" spans="1:3" ht="15">
      <c r="A234" s="90" t="s">
        <v>2615</v>
      </c>
      <c r="B234" s="102" t="s">
        <v>249</v>
      </c>
      <c r="C234" s="89">
        <f>VLOOKUP(GroupVertices[[#This Row],[Vertex]],Vertices[],MATCH("ID",Vertices[[#Headers],[Vertex]:[Top Word Pairs in Tweet by Salience]],0),FALSE)</f>
        <v>53</v>
      </c>
    </row>
    <row r="235" spans="1:3" ht="15">
      <c r="A235" s="90" t="s">
        <v>2615</v>
      </c>
      <c r="B235" s="102" t="s">
        <v>248</v>
      </c>
      <c r="C235" s="89">
        <f>VLOOKUP(GroupVertices[[#This Row],[Vertex]],Vertices[],MATCH("ID",Vertices[[#Headers],[Vertex]:[Top Word Pairs in Tweet by Salience]],0),FALSE)</f>
        <v>51</v>
      </c>
    </row>
    <row r="236" spans="1:3" ht="15">
      <c r="A236" s="90" t="s">
        <v>2615</v>
      </c>
      <c r="B236" s="102" t="s">
        <v>398</v>
      </c>
      <c r="C236" s="89">
        <f>VLOOKUP(GroupVertices[[#This Row],[Vertex]],Vertices[],MATCH("ID",Vertices[[#Headers],[Vertex]:[Top Word Pairs in Tweet by Salience]],0),FALSE)</f>
        <v>56</v>
      </c>
    </row>
    <row r="237" spans="1:3" ht="15">
      <c r="A237" s="90" t="s">
        <v>2615</v>
      </c>
      <c r="B237" s="102" t="s">
        <v>397</v>
      </c>
      <c r="C237" s="89">
        <f>VLOOKUP(GroupVertices[[#This Row],[Vertex]],Vertices[],MATCH("ID",Vertices[[#Headers],[Vertex]:[Top Word Pairs in Tweet by Salience]],0),FALSE)</f>
        <v>55</v>
      </c>
    </row>
    <row r="238" spans="1:3" ht="15">
      <c r="A238" s="90" t="s">
        <v>2615</v>
      </c>
      <c r="B238" s="102" t="s">
        <v>396</v>
      </c>
      <c r="C238" s="89">
        <f>VLOOKUP(GroupVertices[[#This Row],[Vertex]],Vertices[],MATCH("ID",Vertices[[#Headers],[Vertex]:[Top Word Pairs in Tweet by Salience]],0),FALSE)</f>
        <v>52</v>
      </c>
    </row>
    <row r="239" spans="1:3" ht="15">
      <c r="A239" s="90" t="s">
        <v>2616</v>
      </c>
      <c r="B239" s="102" t="s">
        <v>332</v>
      </c>
      <c r="C239" s="89">
        <f>VLOOKUP(GroupVertices[[#This Row],[Vertex]],Vertices[],MATCH("ID",Vertices[[#Headers],[Vertex]:[Top Word Pairs in Tweet by Salience]],0),FALSE)</f>
        <v>223</v>
      </c>
    </row>
    <row r="240" spans="1:3" ht="15">
      <c r="A240" s="90" t="s">
        <v>2616</v>
      </c>
      <c r="B240" s="102" t="s">
        <v>480</v>
      </c>
      <c r="C240" s="89">
        <f>VLOOKUP(GroupVertices[[#This Row],[Vertex]],Vertices[],MATCH("ID",Vertices[[#Headers],[Vertex]:[Top Word Pairs in Tweet by Salience]],0),FALSE)</f>
        <v>224</v>
      </c>
    </row>
    <row r="241" spans="1:3" ht="15">
      <c r="A241" s="90" t="s">
        <v>2616</v>
      </c>
      <c r="B241" s="102" t="s">
        <v>331</v>
      </c>
      <c r="C241" s="89">
        <f>VLOOKUP(GroupVertices[[#This Row],[Vertex]],Vertices[],MATCH("ID",Vertices[[#Headers],[Vertex]:[Top Word Pairs in Tweet by Salience]],0),FALSE)</f>
        <v>29</v>
      </c>
    </row>
    <row r="242" spans="1:3" ht="15">
      <c r="A242" s="90" t="s">
        <v>2616</v>
      </c>
      <c r="B242" s="102" t="s">
        <v>237</v>
      </c>
      <c r="C242" s="89">
        <f>VLOOKUP(GroupVertices[[#This Row],[Vertex]],Vertices[],MATCH("ID",Vertices[[#Headers],[Vertex]:[Top Word Pairs in Tweet by Salience]],0),FALSE)</f>
        <v>30</v>
      </c>
    </row>
    <row r="243" spans="1:3" ht="15">
      <c r="A243" s="90" t="s">
        <v>2616</v>
      </c>
      <c r="B243" s="102" t="s">
        <v>386</v>
      </c>
      <c r="C243" s="89">
        <f>VLOOKUP(GroupVertices[[#This Row],[Vertex]],Vertices[],MATCH("ID",Vertices[[#Headers],[Vertex]:[Top Word Pairs in Tweet by Salience]],0),FALSE)</f>
        <v>28</v>
      </c>
    </row>
    <row r="244" spans="1:3" ht="15">
      <c r="A244" s="90" t="s">
        <v>2616</v>
      </c>
      <c r="B244" s="102" t="s">
        <v>236</v>
      </c>
      <c r="C244" s="89">
        <f>VLOOKUP(GroupVertices[[#This Row],[Vertex]],Vertices[],MATCH("ID",Vertices[[#Headers],[Vertex]:[Top Word Pairs in Tweet by Salience]],0),FALSE)</f>
        <v>27</v>
      </c>
    </row>
    <row r="245" spans="1:3" ht="15">
      <c r="A245" s="90" t="s">
        <v>2617</v>
      </c>
      <c r="B245" s="102" t="s">
        <v>320</v>
      </c>
      <c r="C245" s="89">
        <f>VLOOKUP(GroupVertices[[#This Row],[Vertex]],Vertices[],MATCH("ID",Vertices[[#Headers],[Vertex]:[Top Word Pairs in Tweet by Salience]],0),FALSE)</f>
        <v>205</v>
      </c>
    </row>
    <row r="246" spans="1:3" ht="15">
      <c r="A246" s="90" t="s">
        <v>2617</v>
      </c>
      <c r="B246" s="102" t="s">
        <v>475</v>
      </c>
      <c r="C246" s="89">
        <f>VLOOKUP(GroupVertices[[#This Row],[Vertex]],Vertices[],MATCH("ID",Vertices[[#Headers],[Vertex]:[Top Word Pairs in Tweet by Salience]],0),FALSE)</f>
        <v>209</v>
      </c>
    </row>
    <row r="247" spans="1:3" ht="15">
      <c r="A247" s="90" t="s">
        <v>2617</v>
      </c>
      <c r="B247" s="102" t="s">
        <v>474</v>
      </c>
      <c r="C247" s="89">
        <f>VLOOKUP(GroupVertices[[#This Row],[Vertex]],Vertices[],MATCH("ID",Vertices[[#Headers],[Vertex]:[Top Word Pairs in Tweet by Salience]],0),FALSE)</f>
        <v>208</v>
      </c>
    </row>
    <row r="248" spans="1:3" ht="15">
      <c r="A248" s="90" t="s">
        <v>2617</v>
      </c>
      <c r="B248" s="102" t="s">
        <v>473</v>
      </c>
      <c r="C248" s="89">
        <f>VLOOKUP(GroupVertices[[#This Row],[Vertex]],Vertices[],MATCH("ID",Vertices[[#Headers],[Vertex]:[Top Word Pairs in Tweet by Salience]],0),FALSE)</f>
        <v>207</v>
      </c>
    </row>
    <row r="249" spans="1:3" ht="15">
      <c r="A249" s="90" t="s">
        <v>2617</v>
      </c>
      <c r="B249" s="102" t="s">
        <v>472</v>
      </c>
      <c r="C249" s="89">
        <f>VLOOKUP(GroupVertices[[#This Row],[Vertex]],Vertices[],MATCH("ID",Vertices[[#Headers],[Vertex]:[Top Word Pairs in Tweet by Salience]],0),FALSE)</f>
        <v>206</v>
      </c>
    </row>
    <row r="250" spans="1:3" ht="15">
      <c r="A250" s="90" t="s">
        <v>2618</v>
      </c>
      <c r="B250" s="102" t="s">
        <v>257</v>
      </c>
      <c r="C250" s="89">
        <f>VLOOKUP(GroupVertices[[#This Row],[Vertex]],Vertices[],MATCH("ID",Vertices[[#Headers],[Vertex]:[Top Word Pairs in Tweet by Salience]],0),FALSE)</f>
        <v>72</v>
      </c>
    </row>
    <row r="251" spans="1:3" ht="15">
      <c r="A251" s="90" t="s">
        <v>2618</v>
      </c>
      <c r="B251" s="102" t="s">
        <v>400</v>
      </c>
      <c r="C251" s="89">
        <f>VLOOKUP(GroupVertices[[#This Row],[Vertex]],Vertices[],MATCH("ID",Vertices[[#Headers],[Vertex]:[Top Word Pairs in Tweet by Salience]],0),FALSE)</f>
        <v>59</v>
      </c>
    </row>
    <row r="252" spans="1:3" ht="15">
      <c r="A252" s="90" t="s">
        <v>2618</v>
      </c>
      <c r="B252" s="102" t="s">
        <v>253</v>
      </c>
      <c r="C252" s="89">
        <f>VLOOKUP(GroupVertices[[#This Row],[Vertex]],Vertices[],MATCH("ID",Vertices[[#Headers],[Vertex]:[Top Word Pairs in Tweet by Salience]],0),FALSE)</f>
        <v>63</v>
      </c>
    </row>
    <row r="253" spans="1:3" ht="15">
      <c r="A253" s="90" t="s">
        <v>2618</v>
      </c>
      <c r="B253" s="102" t="s">
        <v>251</v>
      </c>
      <c r="C253" s="89">
        <f>VLOOKUP(GroupVertices[[#This Row],[Vertex]],Vertices[],MATCH("ID",Vertices[[#Headers],[Vertex]:[Top Word Pairs in Tweet by Salience]],0),FALSE)</f>
        <v>60</v>
      </c>
    </row>
    <row r="254" spans="1:3" ht="15">
      <c r="A254" s="90" t="s">
        <v>2618</v>
      </c>
      <c r="B254" s="102" t="s">
        <v>250</v>
      </c>
      <c r="C254" s="89">
        <f>VLOOKUP(GroupVertices[[#This Row],[Vertex]],Vertices[],MATCH("ID",Vertices[[#Headers],[Vertex]:[Top Word Pairs in Tweet by Salience]],0),FALSE)</f>
        <v>58</v>
      </c>
    </row>
    <row r="255" spans="1:3" ht="15">
      <c r="A255" s="90" t="s">
        <v>2619</v>
      </c>
      <c r="B255" s="102" t="s">
        <v>340</v>
      </c>
      <c r="C255" s="89">
        <f>VLOOKUP(GroupVertices[[#This Row],[Vertex]],Vertices[],MATCH("ID",Vertices[[#Headers],[Vertex]:[Top Word Pairs in Tweet by Salience]],0),FALSE)</f>
        <v>235</v>
      </c>
    </row>
    <row r="256" spans="1:3" ht="15">
      <c r="A256" s="90" t="s">
        <v>2619</v>
      </c>
      <c r="B256" s="102" t="s">
        <v>487</v>
      </c>
      <c r="C256" s="89">
        <f>VLOOKUP(GroupVertices[[#This Row],[Vertex]],Vertices[],MATCH("ID",Vertices[[#Headers],[Vertex]:[Top Word Pairs in Tweet by Salience]],0),FALSE)</f>
        <v>238</v>
      </c>
    </row>
    <row r="257" spans="1:3" ht="15">
      <c r="A257" s="90" t="s">
        <v>2619</v>
      </c>
      <c r="B257" s="102" t="s">
        <v>486</v>
      </c>
      <c r="C257" s="89">
        <f>VLOOKUP(GroupVertices[[#This Row],[Vertex]],Vertices[],MATCH("ID",Vertices[[#Headers],[Vertex]:[Top Word Pairs in Tweet by Salience]],0),FALSE)</f>
        <v>237</v>
      </c>
    </row>
    <row r="258" spans="1:3" ht="15">
      <c r="A258" s="90" t="s">
        <v>2619</v>
      </c>
      <c r="B258" s="102" t="s">
        <v>485</v>
      </c>
      <c r="C258" s="89">
        <f>VLOOKUP(GroupVertices[[#This Row],[Vertex]],Vertices[],MATCH("ID",Vertices[[#Headers],[Vertex]:[Top Word Pairs in Tweet by Salience]],0),FALSE)</f>
        <v>236</v>
      </c>
    </row>
    <row r="259" spans="1:3" ht="15">
      <c r="A259" s="90" t="s">
        <v>2620</v>
      </c>
      <c r="B259" s="102" t="s">
        <v>247</v>
      </c>
      <c r="C259" s="89">
        <f>VLOOKUP(GroupVertices[[#This Row],[Vertex]],Vertices[],MATCH("ID",Vertices[[#Headers],[Vertex]:[Top Word Pairs in Tweet by Salience]],0),FALSE)</f>
        <v>41</v>
      </c>
    </row>
    <row r="260" spans="1:3" ht="15">
      <c r="A260" s="90" t="s">
        <v>2620</v>
      </c>
      <c r="B260" s="102" t="s">
        <v>395</v>
      </c>
      <c r="C260" s="89">
        <f>VLOOKUP(GroupVertices[[#This Row],[Vertex]],Vertices[],MATCH("ID",Vertices[[#Headers],[Vertex]:[Top Word Pairs in Tweet by Salience]],0),FALSE)</f>
        <v>50</v>
      </c>
    </row>
    <row r="261" spans="1:3" ht="15">
      <c r="A261" s="90" t="s">
        <v>2620</v>
      </c>
      <c r="B261" s="102" t="s">
        <v>394</v>
      </c>
      <c r="C261" s="89">
        <f>VLOOKUP(GroupVertices[[#This Row],[Vertex]],Vertices[],MATCH("ID",Vertices[[#Headers],[Vertex]:[Top Word Pairs in Tweet by Salience]],0),FALSE)</f>
        <v>49</v>
      </c>
    </row>
    <row r="262" spans="1:3" ht="15">
      <c r="A262" s="90" t="s">
        <v>2620</v>
      </c>
      <c r="B262" s="102" t="s">
        <v>242</v>
      </c>
      <c r="C262" s="89">
        <f>VLOOKUP(GroupVertices[[#This Row],[Vertex]],Vertices[],MATCH("ID",Vertices[[#Headers],[Vertex]:[Top Word Pairs in Tweet by Salience]],0),FALSE)</f>
        <v>40</v>
      </c>
    </row>
    <row r="263" spans="1:3" ht="15">
      <c r="A263" s="90" t="s">
        <v>2621</v>
      </c>
      <c r="B263" s="102" t="s">
        <v>233</v>
      </c>
      <c r="C263" s="89">
        <f>VLOOKUP(GroupVertices[[#This Row],[Vertex]],Vertices[],MATCH("ID",Vertices[[#Headers],[Vertex]:[Top Word Pairs in Tweet by Salience]],0),FALSE)</f>
        <v>18</v>
      </c>
    </row>
    <row r="264" spans="1:3" ht="15">
      <c r="A264" s="90" t="s">
        <v>2621</v>
      </c>
      <c r="B264" s="102" t="s">
        <v>382</v>
      </c>
      <c r="C264" s="89">
        <f>VLOOKUP(GroupVertices[[#This Row],[Vertex]],Vertices[],MATCH("ID",Vertices[[#Headers],[Vertex]:[Top Word Pairs in Tweet by Salience]],0),FALSE)</f>
        <v>21</v>
      </c>
    </row>
    <row r="265" spans="1:3" ht="15">
      <c r="A265" s="90" t="s">
        <v>2621</v>
      </c>
      <c r="B265" s="102" t="s">
        <v>381</v>
      </c>
      <c r="C265" s="89">
        <f>VLOOKUP(GroupVertices[[#This Row],[Vertex]],Vertices[],MATCH("ID",Vertices[[#Headers],[Vertex]:[Top Word Pairs in Tweet by Salience]],0),FALSE)</f>
        <v>20</v>
      </c>
    </row>
    <row r="266" spans="1:3" ht="15">
      <c r="A266" s="90" t="s">
        <v>2621</v>
      </c>
      <c r="B266" s="102" t="s">
        <v>380</v>
      </c>
      <c r="C266" s="89">
        <f>VLOOKUP(GroupVertices[[#This Row],[Vertex]],Vertices[],MATCH("ID",Vertices[[#Headers],[Vertex]:[Top Word Pairs in Tweet by Salience]],0),FALSE)</f>
        <v>19</v>
      </c>
    </row>
    <row r="267" spans="1:3" ht="15">
      <c r="A267" s="90" t="s">
        <v>2622</v>
      </c>
      <c r="B267" s="102" t="s">
        <v>234</v>
      </c>
      <c r="C267" s="89">
        <f>VLOOKUP(GroupVertices[[#This Row],[Vertex]],Vertices[],MATCH("ID",Vertices[[#Headers],[Vertex]:[Top Word Pairs in Tweet by Salience]],0),FALSE)</f>
        <v>22</v>
      </c>
    </row>
    <row r="268" spans="1:3" ht="15">
      <c r="A268" s="90" t="s">
        <v>2622</v>
      </c>
      <c r="B268" s="102" t="s">
        <v>239</v>
      </c>
      <c r="C268" s="89">
        <f>VLOOKUP(GroupVertices[[#This Row],[Vertex]],Vertices[],MATCH("ID",Vertices[[#Headers],[Vertex]:[Top Word Pairs in Tweet by Salience]],0),FALSE)</f>
        <v>36</v>
      </c>
    </row>
    <row r="269" spans="1:3" ht="15">
      <c r="A269" s="90" t="s">
        <v>2622</v>
      </c>
      <c r="B269" s="102" t="s">
        <v>241</v>
      </c>
      <c r="C269" s="89">
        <f>VLOOKUP(GroupVertices[[#This Row],[Vertex]],Vertices[],MATCH("ID",Vertices[[#Headers],[Vertex]:[Top Word Pairs in Tweet by Salience]],0),FALSE)</f>
        <v>39</v>
      </c>
    </row>
    <row r="270" spans="1:3" ht="15">
      <c r="A270" s="90" t="s">
        <v>2622</v>
      </c>
      <c r="B270" s="102" t="s">
        <v>315</v>
      </c>
      <c r="C270" s="89">
        <f>VLOOKUP(GroupVertices[[#This Row],[Vertex]],Vertices[],MATCH("ID",Vertices[[#Headers],[Vertex]:[Top Word Pairs in Tweet by Salience]],0),FALSE)</f>
        <v>199</v>
      </c>
    </row>
    <row r="271" spans="1:3" ht="15">
      <c r="A271" s="90" t="s">
        <v>2623</v>
      </c>
      <c r="B271" s="102" t="s">
        <v>370</v>
      </c>
      <c r="C271" s="89">
        <f>VLOOKUP(GroupVertices[[#This Row],[Vertex]],Vertices[],MATCH("ID",Vertices[[#Headers],[Vertex]:[Top Word Pairs in Tweet by Salience]],0),FALSE)</f>
        <v>279</v>
      </c>
    </row>
    <row r="272" spans="1:3" ht="15">
      <c r="A272" s="90" t="s">
        <v>2623</v>
      </c>
      <c r="B272" s="102" t="s">
        <v>508</v>
      </c>
      <c r="C272" s="89">
        <f>VLOOKUP(GroupVertices[[#This Row],[Vertex]],Vertices[],MATCH("ID",Vertices[[#Headers],[Vertex]:[Top Word Pairs in Tweet by Salience]],0),FALSE)</f>
        <v>281</v>
      </c>
    </row>
    <row r="273" spans="1:3" ht="15">
      <c r="A273" s="90" t="s">
        <v>2623</v>
      </c>
      <c r="B273" s="102" t="s">
        <v>507</v>
      </c>
      <c r="C273" s="89">
        <f>VLOOKUP(GroupVertices[[#This Row],[Vertex]],Vertices[],MATCH("ID",Vertices[[#Headers],[Vertex]:[Top Word Pairs in Tweet by Salience]],0),FALSE)</f>
        <v>280</v>
      </c>
    </row>
    <row r="274" spans="1:3" ht="15">
      <c r="A274" s="90" t="s">
        <v>2624</v>
      </c>
      <c r="B274" s="102" t="s">
        <v>328</v>
      </c>
      <c r="C274" s="89">
        <f>VLOOKUP(GroupVertices[[#This Row],[Vertex]],Vertices[],MATCH("ID",Vertices[[#Headers],[Vertex]:[Top Word Pairs in Tweet by Salience]],0),FALSE)</f>
        <v>218</v>
      </c>
    </row>
    <row r="275" spans="1:3" ht="15">
      <c r="A275" s="90" t="s">
        <v>2624</v>
      </c>
      <c r="B275" s="102" t="s">
        <v>327</v>
      </c>
      <c r="C275" s="89">
        <f>VLOOKUP(GroupVertices[[#This Row],[Vertex]],Vertices[],MATCH("ID",Vertices[[#Headers],[Vertex]:[Top Word Pairs in Tweet by Salience]],0),FALSE)</f>
        <v>217</v>
      </c>
    </row>
    <row r="276" spans="1:3" ht="15">
      <c r="A276" s="90" t="s">
        <v>2624</v>
      </c>
      <c r="B276" s="102" t="s">
        <v>461</v>
      </c>
      <c r="C276" s="89">
        <f>VLOOKUP(GroupVertices[[#This Row],[Vertex]],Vertices[],MATCH("ID",Vertices[[#Headers],[Vertex]:[Top Word Pairs in Tweet by Salience]],0),FALSE)</f>
        <v>171</v>
      </c>
    </row>
    <row r="277" spans="1:3" ht="15">
      <c r="A277" s="90" t="s">
        <v>2625</v>
      </c>
      <c r="B277" s="102" t="s">
        <v>263</v>
      </c>
      <c r="C277" s="89">
        <f>VLOOKUP(GroupVertices[[#This Row],[Vertex]],Vertices[],MATCH("ID",Vertices[[#Headers],[Vertex]:[Top Word Pairs in Tweet by Salience]],0),FALSE)</f>
        <v>85</v>
      </c>
    </row>
    <row r="278" spans="1:3" ht="15">
      <c r="A278" s="90" t="s">
        <v>2625</v>
      </c>
      <c r="B278" s="102" t="s">
        <v>411</v>
      </c>
      <c r="C278" s="89">
        <f>VLOOKUP(GroupVertices[[#This Row],[Vertex]],Vertices[],MATCH("ID",Vertices[[#Headers],[Vertex]:[Top Word Pairs in Tweet by Salience]],0),FALSE)</f>
        <v>87</v>
      </c>
    </row>
    <row r="279" spans="1:3" ht="15">
      <c r="A279" s="90" t="s">
        <v>2625</v>
      </c>
      <c r="B279" s="102" t="s">
        <v>410</v>
      </c>
      <c r="C279" s="89">
        <f>VLOOKUP(GroupVertices[[#This Row],[Vertex]],Vertices[],MATCH("ID",Vertices[[#Headers],[Vertex]:[Top Word Pairs in Tweet by Salience]],0),FALSE)</f>
        <v>86</v>
      </c>
    </row>
    <row r="280" spans="1:3" ht="15">
      <c r="A280" s="90" t="s">
        <v>2626</v>
      </c>
      <c r="B280" s="102" t="s">
        <v>259</v>
      </c>
      <c r="C280" s="89">
        <f>VLOOKUP(GroupVertices[[#This Row],[Vertex]],Vertices[],MATCH("ID",Vertices[[#Headers],[Vertex]:[Top Word Pairs in Tweet by Salience]],0),FALSE)</f>
        <v>78</v>
      </c>
    </row>
    <row r="281" spans="1:3" ht="15">
      <c r="A281" s="90" t="s">
        <v>2626</v>
      </c>
      <c r="B281" s="102" t="s">
        <v>408</v>
      </c>
      <c r="C281" s="89">
        <f>VLOOKUP(GroupVertices[[#This Row],[Vertex]],Vertices[],MATCH("ID",Vertices[[#Headers],[Vertex]:[Top Word Pairs in Tweet by Salience]],0),FALSE)</f>
        <v>80</v>
      </c>
    </row>
    <row r="282" spans="1:3" ht="15">
      <c r="A282" s="90" t="s">
        <v>2626</v>
      </c>
      <c r="B282" s="102" t="s">
        <v>407</v>
      </c>
      <c r="C282" s="89">
        <f>VLOOKUP(GroupVertices[[#This Row],[Vertex]],Vertices[],MATCH("ID",Vertices[[#Headers],[Vertex]:[Top Word Pairs in Tweet by Salience]],0),FALSE)</f>
        <v>79</v>
      </c>
    </row>
    <row r="283" spans="1:3" ht="15">
      <c r="A283" s="90" t="s">
        <v>2627</v>
      </c>
      <c r="B283" s="102" t="s">
        <v>377</v>
      </c>
      <c r="C283" s="89">
        <f>VLOOKUP(GroupVertices[[#This Row],[Vertex]],Vertices[],MATCH("ID",Vertices[[#Headers],[Vertex]:[Top Word Pairs in Tweet by Salience]],0),FALSE)</f>
        <v>298</v>
      </c>
    </row>
    <row r="284" spans="1:3" ht="15">
      <c r="A284" s="90" t="s">
        <v>2627</v>
      </c>
      <c r="B284" s="102" t="s">
        <v>521</v>
      </c>
      <c r="C284" s="89">
        <f>VLOOKUP(GroupVertices[[#This Row],[Vertex]],Vertices[],MATCH("ID",Vertices[[#Headers],[Vertex]:[Top Word Pairs in Tweet by Salience]],0),FALSE)</f>
        <v>299</v>
      </c>
    </row>
    <row r="285" spans="1:3" ht="15">
      <c r="A285" s="90" t="s">
        <v>2628</v>
      </c>
      <c r="B285" s="102" t="s">
        <v>339</v>
      </c>
      <c r="C285" s="89">
        <f>VLOOKUP(GroupVertices[[#This Row],[Vertex]],Vertices[],MATCH("ID",Vertices[[#Headers],[Vertex]:[Top Word Pairs in Tweet by Salience]],0),FALSE)</f>
        <v>233</v>
      </c>
    </row>
    <row r="286" spans="1:3" ht="15">
      <c r="A286" s="90" t="s">
        <v>2628</v>
      </c>
      <c r="B286" s="102" t="s">
        <v>484</v>
      </c>
      <c r="C286" s="89">
        <f>VLOOKUP(GroupVertices[[#This Row],[Vertex]],Vertices[],MATCH("ID",Vertices[[#Headers],[Vertex]:[Top Word Pairs in Tweet by Salience]],0),FALSE)</f>
        <v>234</v>
      </c>
    </row>
    <row r="287" spans="1:3" ht="15">
      <c r="A287" s="90" t="s">
        <v>2629</v>
      </c>
      <c r="B287" s="102" t="s">
        <v>318</v>
      </c>
      <c r="C287" s="89">
        <f>VLOOKUP(GroupVertices[[#This Row],[Vertex]],Vertices[],MATCH("ID",Vertices[[#Headers],[Vertex]:[Top Word Pairs in Tweet by Salience]],0),FALSE)</f>
        <v>202</v>
      </c>
    </row>
    <row r="288" spans="1:3" ht="15">
      <c r="A288" s="90" t="s">
        <v>2629</v>
      </c>
      <c r="B288" s="102" t="s">
        <v>471</v>
      </c>
      <c r="C288" s="89">
        <f>VLOOKUP(GroupVertices[[#This Row],[Vertex]],Vertices[],MATCH("ID",Vertices[[#Headers],[Vertex]:[Top Word Pairs in Tweet by Salience]],0),FALSE)</f>
        <v>203</v>
      </c>
    </row>
    <row r="289" spans="1:3" ht="15">
      <c r="A289" s="90" t="s">
        <v>2630</v>
      </c>
      <c r="B289" s="102" t="s">
        <v>309</v>
      </c>
      <c r="C289" s="89">
        <f>VLOOKUP(GroupVertices[[#This Row],[Vertex]],Vertices[],MATCH("ID",Vertices[[#Headers],[Vertex]:[Top Word Pairs in Tweet by Salience]],0),FALSE)</f>
        <v>191</v>
      </c>
    </row>
    <row r="290" spans="1:3" ht="15">
      <c r="A290" s="90" t="s">
        <v>2630</v>
      </c>
      <c r="B290" s="102" t="s">
        <v>469</v>
      </c>
      <c r="C290" s="89">
        <f>VLOOKUP(GroupVertices[[#This Row],[Vertex]],Vertices[],MATCH("ID",Vertices[[#Headers],[Vertex]:[Top Word Pairs in Tweet by Salience]],0),FALSE)</f>
        <v>192</v>
      </c>
    </row>
    <row r="291" spans="1:3" ht="15">
      <c r="A291" s="90" t="s">
        <v>2631</v>
      </c>
      <c r="B291" s="102" t="s">
        <v>264</v>
      </c>
      <c r="C291" s="89">
        <f>VLOOKUP(GroupVertices[[#This Row],[Vertex]],Vertices[],MATCH("ID",Vertices[[#Headers],[Vertex]:[Top Word Pairs in Tweet by Salience]],0),FALSE)</f>
        <v>88</v>
      </c>
    </row>
    <row r="292" spans="1:3" ht="15">
      <c r="A292" s="90" t="s">
        <v>2631</v>
      </c>
      <c r="B292" s="102" t="s">
        <v>412</v>
      </c>
      <c r="C292" s="89">
        <f>VLOOKUP(GroupVertices[[#This Row],[Vertex]],Vertices[],MATCH("ID",Vertices[[#Headers],[Vertex]:[Top Word Pairs in Tweet by Salience]],0),FALSE)</f>
        <v>89</v>
      </c>
    </row>
    <row r="293" spans="1:3" ht="15">
      <c r="A293" s="90" t="s">
        <v>2632</v>
      </c>
      <c r="B293" s="102" t="s">
        <v>252</v>
      </c>
      <c r="C293" s="89">
        <f>VLOOKUP(GroupVertices[[#This Row],[Vertex]],Vertices[],MATCH("ID",Vertices[[#Headers],[Vertex]:[Top Word Pairs in Tweet by Salience]],0),FALSE)</f>
        <v>61</v>
      </c>
    </row>
    <row r="294" spans="1:3" ht="15">
      <c r="A294" s="90" t="s">
        <v>2632</v>
      </c>
      <c r="B294" s="102" t="s">
        <v>401</v>
      </c>
      <c r="C294" s="89">
        <f>VLOOKUP(GroupVertices[[#This Row],[Vertex]],Vertices[],MATCH("ID",Vertices[[#Headers],[Vertex]:[Top Word Pairs in Tweet by Salience]],0),FALSE)</f>
        <v>62</v>
      </c>
    </row>
    <row r="295" spans="1:3" ht="15">
      <c r="A295" s="90" t="s">
        <v>2633</v>
      </c>
      <c r="B295" s="102" t="s">
        <v>244</v>
      </c>
      <c r="C295" s="89">
        <f>VLOOKUP(GroupVertices[[#This Row],[Vertex]],Vertices[],MATCH("ID",Vertices[[#Headers],[Vertex]:[Top Word Pairs in Tweet by Salience]],0),FALSE)</f>
        <v>44</v>
      </c>
    </row>
    <row r="296" spans="1:3" ht="15">
      <c r="A296" s="90" t="s">
        <v>2633</v>
      </c>
      <c r="B296" s="102" t="s">
        <v>392</v>
      </c>
      <c r="C296" s="89">
        <f>VLOOKUP(GroupVertices[[#This Row],[Vertex]],Vertices[],MATCH("ID",Vertices[[#Headers],[Vertex]:[Top Word Pairs in Tweet by Salience]],0),FALSE)</f>
        <v>45</v>
      </c>
    </row>
    <row r="297" spans="1:3" ht="15">
      <c r="A297" s="90" t="s">
        <v>2634</v>
      </c>
      <c r="B297" s="102" t="s">
        <v>227</v>
      </c>
      <c r="C297" s="89">
        <f>VLOOKUP(GroupVertices[[#This Row],[Vertex]],Vertices[],MATCH("ID",Vertices[[#Headers],[Vertex]:[Top Word Pairs in Tweet by Salience]],0),FALSE)</f>
        <v>8</v>
      </c>
    </row>
    <row r="298" spans="1:3" ht="15">
      <c r="A298" s="90" t="s">
        <v>2634</v>
      </c>
      <c r="B298" s="102" t="s">
        <v>226</v>
      </c>
      <c r="C298" s="8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98"/>
    <dataValidation allowBlank="1" showInputMessage="1" showErrorMessage="1" promptTitle="Vertex Name" prompt="Enter the name of a vertex to include in the group." sqref="B2:B298"/>
    <dataValidation allowBlank="1" showInputMessage="1" promptTitle="Vertex ID" prompt="This is the value of the hidden ID cell in the Vertices worksheet.  It gets filled in by the items on the NodeXL, Analysis, Groups menu." sqref="C2:C2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5156</v>
      </c>
      <c r="B2" s="35" t="s">
        <v>182</v>
      </c>
      <c r="D2" s="32">
        <f>MIN(Vertices[Degree])</f>
        <v>0</v>
      </c>
      <c r="E2" s="3">
        <f>COUNTIF(Vertices[Degree],"&gt;= "&amp;D2)-COUNTIF(Vertices[Degree],"&gt;="&amp;D3)</f>
        <v>0</v>
      </c>
      <c r="F2" s="38">
        <f>MIN(Vertices[In-Degree])</f>
        <v>0</v>
      </c>
      <c r="G2" s="39">
        <f>COUNTIF(Vertices[In-Degree],"&gt;= "&amp;F2)-COUNTIF(Vertices[In-Degree],"&gt;="&amp;F3)</f>
        <v>108</v>
      </c>
      <c r="H2" s="38">
        <f>MIN(Vertices[Out-Degree])</f>
        <v>0</v>
      </c>
      <c r="I2" s="39">
        <f>COUNTIF(Vertices[Out-Degree],"&gt;= "&amp;H2)-COUNTIF(Vertices[Out-Degree],"&gt;="&amp;H3)</f>
        <v>144</v>
      </c>
      <c r="J2" s="38">
        <f>MIN(Vertices[Betweenness Centrality])</f>
        <v>0</v>
      </c>
      <c r="K2" s="39">
        <f>COUNTIF(Vertices[Betweenness Centrality],"&gt;= "&amp;J2)-COUNTIF(Vertices[Betweenness Centrality],"&gt;="&amp;J3)</f>
        <v>222</v>
      </c>
      <c r="L2" s="38">
        <f>MIN(Vertices[Closeness Centrality])</f>
        <v>0</v>
      </c>
      <c r="M2" s="39">
        <f>COUNTIF(Vertices[Closeness Centrality],"&gt;= "&amp;L2)-COUNTIF(Vertices[Closeness Centrality],"&gt;="&amp;L3)</f>
        <v>250</v>
      </c>
      <c r="N2" s="38">
        <f>MIN(Vertices[Eigenvector Centrality])</f>
        <v>0</v>
      </c>
      <c r="O2" s="39">
        <f>COUNTIF(Vertices[Eigenvector Centrality],"&gt;= "&amp;N2)-COUNTIF(Vertices[Eigenvector Centrality],"&gt;="&amp;N3)</f>
        <v>214</v>
      </c>
      <c r="P2" s="38">
        <f>MIN(Vertices[PageRank])</f>
        <v>0.34099</v>
      </c>
      <c r="Q2" s="39">
        <f>COUNTIF(Vertices[PageRank],"&gt;= "&amp;P2)-COUNTIF(Vertices[PageRank],"&gt;="&amp;P3)</f>
        <v>105</v>
      </c>
      <c r="R2" s="38">
        <f>MIN(Vertices[Clustering Coefficient])</f>
        <v>0</v>
      </c>
      <c r="S2" s="44">
        <f>COUNTIF(Vertices[Clustering Coefficient],"&gt;= "&amp;R2)-COUNTIF(Vertices[Clustering Coefficient],"&gt;="&amp;R3)</f>
        <v>203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126</v>
      </c>
      <c r="H3" s="40">
        <f aca="true" t="shared" si="3" ref="H3:H35">H2+($H$36-$H$2)/BinDivisor</f>
        <v>0.6470588235294118</v>
      </c>
      <c r="I3" s="41">
        <f>COUNTIF(Vertices[Out-Degree],"&gt;= "&amp;H3)-COUNTIF(Vertices[Out-Degree],"&gt;="&amp;H4)</f>
        <v>46</v>
      </c>
      <c r="J3" s="40">
        <f aca="true" t="shared" si="4" ref="J3:J35">J2+($J$36-$J$2)/BinDivisor</f>
        <v>482.15124650000007</v>
      </c>
      <c r="K3" s="41">
        <f>COUNTIF(Vertices[Betweenness Centrality],"&gt;= "&amp;J3)-COUNTIF(Vertices[Betweenness Centrality],"&gt;="&amp;J4)</f>
        <v>19</v>
      </c>
      <c r="L3" s="40">
        <f aca="true" t="shared" si="5" ref="L3:L35">L2+($L$36-$L$2)/BinDivisor</f>
        <v>0.029411764705882353</v>
      </c>
      <c r="M3" s="41">
        <f>COUNTIF(Vertices[Closeness Centrality],"&gt;= "&amp;L3)-COUNTIF(Vertices[Closeness Centrality],"&gt;="&amp;L4)</f>
        <v>0</v>
      </c>
      <c r="N3" s="40">
        <f aca="true" t="shared" si="6" ref="N3:N35">N2+($N$36-$N$2)/BinDivisor</f>
        <v>0.001862264705882353</v>
      </c>
      <c r="O3" s="41">
        <f>COUNTIF(Vertices[Eigenvector Centrality],"&gt;= "&amp;N3)-COUNTIF(Vertices[Eigenvector Centrality],"&gt;="&amp;N4)</f>
        <v>34</v>
      </c>
      <c r="P3" s="40">
        <f aca="true" t="shared" si="7" ref="P3:P35">P2+($P$36-$P$2)/BinDivisor</f>
        <v>0.5820371470588236</v>
      </c>
      <c r="Q3" s="41">
        <f>COUNTIF(Vertices[PageRank],"&gt;= "&amp;P3)-COUNTIF(Vertices[PageRank],"&gt;="&amp;P4)</f>
        <v>80</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297</v>
      </c>
      <c r="D4" s="33">
        <f t="shared" si="1"/>
        <v>0</v>
      </c>
      <c r="E4" s="3">
        <f>COUNTIF(Vertices[Degree],"&gt;= "&amp;D4)-COUNTIF(Vertices[Degree],"&gt;="&amp;D5)</f>
        <v>0</v>
      </c>
      <c r="F4" s="38">
        <f t="shared" si="2"/>
        <v>1.2352941176470589</v>
      </c>
      <c r="G4" s="39">
        <f>COUNTIF(Vertices[In-Degree],"&gt;= "&amp;F4)-COUNTIF(Vertices[In-Degree],"&gt;="&amp;F5)</f>
        <v>0</v>
      </c>
      <c r="H4" s="38">
        <f t="shared" si="3"/>
        <v>1.2941176470588236</v>
      </c>
      <c r="I4" s="39">
        <f>COUNTIF(Vertices[Out-Degree],"&gt;= "&amp;H4)-COUNTIF(Vertices[Out-Degree],"&gt;="&amp;H5)</f>
        <v>0</v>
      </c>
      <c r="J4" s="38">
        <f t="shared" si="4"/>
        <v>964.3024930000001</v>
      </c>
      <c r="K4" s="39">
        <f>COUNTIF(Vertices[Betweenness Centrality],"&gt;= "&amp;J4)-COUNTIF(Vertices[Betweenness Centrality],"&gt;="&amp;J5)</f>
        <v>13</v>
      </c>
      <c r="L4" s="38">
        <f t="shared" si="5"/>
        <v>0.058823529411764705</v>
      </c>
      <c r="M4" s="39">
        <f>COUNTIF(Vertices[Closeness Centrality],"&gt;= "&amp;L4)-COUNTIF(Vertices[Closeness Centrality],"&gt;="&amp;L5)</f>
        <v>0</v>
      </c>
      <c r="N4" s="38">
        <f t="shared" si="6"/>
        <v>0.003724529411764706</v>
      </c>
      <c r="O4" s="39">
        <f>COUNTIF(Vertices[Eigenvector Centrality],"&gt;= "&amp;N4)-COUNTIF(Vertices[Eigenvector Centrality],"&gt;="&amp;N5)</f>
        <v>14</v>
      </c>
      <c r="P4" s="38">
        <f t="shared" si="7"/>
        <v>0.8230842941176472</v>
      </c>
      <c r="Q4" s="39">
        <f>COUNTIF(Vertices[PageRank],"&gt;= "&amp;P4)-COUNTIF(Vertices[PageRank],"&gt;="&amp;P5)</f>
        <v>47</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1.8529411764705883</v>
      </c>
      <c r="G5" s="41">
        <f>COUNTIF(Vertices[In-Degree],"&gt;= "&amp;F5)-COUNTIF(Vertices[In-Degree],"&gt;="&amp;F6)</f>
        <v>28</v>
      </c>
      <c r="H5" s="40">
        <f t="shared" si="3"/>
        <v>1.9411764705882355</v>
      </c>
      <c r="I5" s="41">
        <f>COUNTIF(Vertices[Out-Degree],"&gt;= "&amp;H5)-COUNTIF(Vertices[Out-Degree],"&gt;="&amp;H6)</f>
        <v>41</v>
      </c>
      <c r="J5" s="40">
        <f t="shared" si="4"/>
        <v>1446.4537395000002</v>
      </c>
      <c r="K5" s="41">
        <f>COUNTIF(Vertices[Betweenness Centrality],"&gt;= "&amp;J5)-COUNTIF(Vertices[Betweenness Centrality],"&gt;="&amp;J6)</f>
        <v>5</v>
      </c>
      <c r="L5" s="40">
        <f t="shared" si="5"/>
        <v>0.08823529411764705</v>
      </c>
      <c r="M5" s="41">
        <f>COUNTIF(Vertices[Closeness Centrality],"&gt;= "&amp;L5)-COUNTIF(Vertices[Closeness Centrality],"&gt;="&amp;L6)</f>
        <v>0</v>
      </c>
      <c r="N5" s="40">
        <f t="shared" si="6"/>
        <v>0.005586794117647059</v>
      </c>
      <c r="O5" s="41">
        <f>COUNTIF(Vertices[Eigenvector Centrality],"&gt;= "&amp;N5)-COUNTIF(Vertices[Eigenvector Centrality],"&gt;="&amp;N6)</f>
        <v>5</v>
      </c>
      <c r="P5" s="40">
        <f t="shared" si="7"/>
        <v>1.0641314411764706</v>
      </c>
      <c r="Q5" s="41">
        <f>COUNTIF(Vertices[PageRank],"&gt;= "&amp;P5)-COUNTIF(Vertices[PageRank],"&gt;="&amp;P6)</f>
        <v>11</v>
      </c>
      <c r="R5" s="40">
        <f t="shared" si="8"/>
        <v>0.08823529411764705</v>
      </c>
      <c r="S5" s="45">
        <f>COUNTIF(Vertices[Clustering Coefficient],"&gt;= "&amp;R5)-COUNTIF(Vertices[Clustering Coefficient],"&gt;="&amp;R6)</f>
        <v>10</v>
      </c>
      <c r="T5" s="40" t="e">
        <f ca="1" t="shared" si="9"/>
        <v>#REF!</v>
      </c>
      <c r="U5" s="41" t="e">
        <f ca="1" t="shared" si="0"/>
        <v>#REF!</v>
      </c>
    </row>
    <row r="6" spans="1:21" ht="15">
      <c r="A6" s="35" t="s">
        <v>148</v>
      </c>
      <c r="B6" s="35">
        <v>383</v>
      </c>
      <c r="D6" s="33">
        <f t="shared" si="1"/>
        <v>0</v>
      </c>
      <c r="E6" s="3">
        <f>COUNTIF(Vertices[Degree],"&gt;= "&amp;D6)-COUNTIF(Vertices[Degree],"&gt;="&amp;D7)</f>
        <v>0</v>
      </c>
      <c r="F6" s="38">
        <f t="shared" si="2"/>
        <v>2.4705882352941178</v>
      </c>
      <c r="G6" s="39">
        <f>COUNTIF(Vertices[In-Degree],"&gt;= "&amp;F6)-COUNTIF(Vertices[In-Degree],"&gt;="&amp;F7)</f>
        <v>7</v>
      </c>
      <c r="H6" s="38">
        <f t="shared" si="3"/>
        <v>2.588235294117647</v>
      </c>
      <c r="I6" s="39">
        <f>COUNTIF(Vertices[Out-Degree],"&gt;= "&amp;H6)-COUNTIF(Vertices[Out-Degree],"&gt;="&amp;H7)</f>
        <v>30</v>
      </c>
      <c r="J6" s="38">
        <f t="shared" si="4"/>
        <v>1928.6049860000003</v>
      </c>
      <c r="K6" s="39">
        <f>COUNTIF(Vertices[Betweenness Centrality],"&gt;= "&amp;J6)-COUNTIF(Vertices[Betweenness Centrality],"&gt;="&amp;J7)</f>
        <v>8</v>
      </c>
      <c r="L6" s="38">
        <f t="shared" si="5"/>
        <v>0.11764705882352941</v>
      </c>
      <c r="M6" s="39">
        <f>COUNTIF(Vertices[Closeness Centrality],"&gt;= "&amp;L6)-COUNTIF(Vertices[Closeness Centrality],"&gt;="&amp;L7)</f>
        <v>8</v>
      </c>
      <c r="N6" s="38">
        <f t="shared" si="6"/>
        <v>0.007449058823529412</v>
      </c>
      <c r="O6" s="39">
        <f>COUNTIF(Vertices[Eigenvector Centrality],"&gt;= "&amp;N6)-COUNTIF(Vertices[Eigenvector Centrality],"&gt;="&amp;N7)</f>
        <v>3</v>
      </c>
      <c r="P6" s="38">
        <f t="shared" si="7"/>
        <v>1.3051785882352942</v>
      </c>
      <c r="Q6" s="39">
        <f>COUNTIF(Vertices[PageRank],"&gt;= "&amp;P6)-COUNTIF(Vertices[PageRank],"&gt;="&amp;P7)</f>
        <v>14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156</v>
      </c>
      <c r="D7" s="33">
        <f t="shared" si="1"/>
        <v>0</v>
      </c>
      <c r="E7" s="3">
        <f>COUNTIF(Vertices[Degree],"&gt;= "&amp;D7)-COUNTIF(Vertices[Degree],"&gt;="&amp;D8)</f>
        <v>0</v>
      </c>
      <c r="F7" s="40">
        <f t="shared" si="2"/>
        <v>3.088235294117647</v>
      </c>
      <c r="G7" s="41">
        <f>COUNTIF(Vertices[In-Degree],"&gt;= "&amp;F7)-COUNTIF(Vertices[In-Degree],"&gt;="&amp;F8)</f>
        <v>0</v>
      </c>
      <c r="H7" s="40">
        <f t="shared" si="3"/>
        <v>3.235294117647059</v>
      </c>
      <c r="I7" s="41">
        <f>COUNTIF(Vertices[Out-Degree],"&gt;= "&amp;H7)-COUNTIF(Vertices[Out-Degree],"&gt;="&amp;H8)</f>
        <v>0</v>
      </c>
      <c r="J7" s="40">
        <f t="shared" si="4"/>
        <v>2410.7562325000004</v>
      </c>
      <c r="K7" s="41">
        <f>COUNTIF(Vertices[Betweenness Centrality],"&gt;= "&amp;J7)-COUNTIF(Vertices[Betweenness Centrality],"&gt;="&amp;J8)</f>
        <v>5</v>
      </c>
      <c r="L7" s="40">
        <f t="shared" si="5"/>
        <v>0.14705882352941177</v>
      </c>
      <c r="M7" s="41">
        <f>COUNTIF(Vertices[Closeness Centrality],"&gt;= "&amp;L7)-COUNTIF(Vertices[Closeness Centrality],"&gt;="&amp;L8)</f>
        <v>0</v>
      </c>
      <c r="N7" s="40">
        <f t="shared" si="6"/>
        <v>0.009311323529411764</v>
      </c>
      <c r="O7" s="41">
        <f>COUNTIF(Vertices[Eigenvector Centrality],"&gt;= "&amp;N7)-COUNTIF(Vertices[Eigenvector Centrality],"&gt;="&amp;N8)</f>
        <v>1</v>
      </c>
      <c r="P7" s="40">
        <f t="shared" si="7"/>
        <v>1.5462257352941178</v>
      </c>
      <c r="Q7" s="41">
        <f>COUNTIF(Vertices[PageRank],"&gt;= "&amp;P7)-COUNTIF(Vertices[PageRank],"&gt;="&amp;P8)</f>
        <v>9</v>
      </c>
      <c r="R7" s="40">
        <f t="shared" si="8"/>
        <v>0.14705882352941177</v>
      </c>
      <c r="S7" s="45">
        <f>COUNTIF(Vertices[Clustering Coefficient],"&gt;= "&amp;R7)-COUNTIF(Vertices[Clustering Coefficient],"&gt;="&amp;R8)</f>
        <v>12</v>
      </c>
      <c r="T7" s="40" t="e">
        <f ca="1" t="shared" si="9"/>
        <v>#REF!</v>
      </c>
      <c r="U7" s="41" t="e">
        <f ca="1" t="shared" si="0"/>
        <v>#REF!</v>
      </c>
    </row>
    <row r="8" spans="1:21" ht="15">
      <c r="A8" s="35" t="s">
        <v>150</v>
      </c>
      <c r="B8" s="35">
        <v>539</v>
      </c>
      <c r="D8" s="33">
        <f t="shared" si="1"/>
        <v>0</v>
      </c>
      <c r="E8" s="3">
        <f>COUNTIF(Vertices[Degree],"&gt;= "&amp;D8)-COUNTIF(Vertices[Degree],"&gt;="&amp;D9)</f>
        <v>0</v>
      </c>
      <c r="F8" s="38">
        <f t="shared" si="2"/>
        <v>3.7058823529411766</v>
      </c>
      <c r="G8" s="39">
        <f>COUNTIF(Vertices[In-Degree],"&gt;= "&amp;F8)-COUNTIF(Vertices[In-Degree],"&gt;="&amp;F9)</f>
        <v>8</v>
      </c>
      <c r="H8" s="38">
        <f t="shared" si="3"/>
        <v>3.8823529411764706</v>
      </c>
      <c r="I8" s="39">
        <f>COUNTIF(Vertices[Out-Degree],"&gt;= "&amp;H8)-COUNTIF(Vertices[Out-Degree],"&gt;="&amp;H9)</f>
        <v>10</v>
      </c>
      <c r="J8" s="38">
        <f t="shared" si="4"/>
        <v>2892.9074790000004</v>
      </c>
      <c r="K8" s="39">
        <f>COUNTIF(Vertices[Betweenness Centrality],"&gt;= "&amp;J8)-COUNTIF(Vertices[Betweenness Centrality],"&gt;="&amp;J9)</f>
        <v>2</v>
      </c>
      <c r="L8" s="38">
        <f t="shared" si="5"/>
        <v>0.17647058823529413</v>
      </c>
      <c r="M8" s="39">
        <f>COUNTIF(Vertices[Closeness Centrality],"&gt;= "&amp;L8)-COUNTIF(Vertices[Closeness Centrality],"&gt;="&amp;L9)</f>
        <v>9</v>
      </c>
      <c r="N8" s="38">
        <f t="shared" si="6"/>
        <v>0.011173588235294117</v>
      </c>
      <c r="O8" s="39">
        <f>COUNTIF(Vertices[Eigenvector Centrality],"&gt;= "&amp;N8)-COUNTIF(Vertices[Eigenvector Centrality],"&gt;="&amp;N9)</f>
        <v>4</v>
      </c>
      <c r="P8" s="38">
        <f t="shared" si="7"/>
        <v>1.7872728823529413</v>
      </c>
      <c r="Q8" s="39">
        <f>COUNTIF(Vertices[PageRank],"&gt;= "&amp;P8)-COUNTIF(Vertices[PageRank],"&gt;="&amp;P9)</f>
        <v>6</v>
      </c>
      <c r="R8" s="38">
        <f t="shared" si="8"/>
        <v>0.17647058823529413</v>
      </c>
      <c r="S8" s="44">
        <f>COUNTIF(Vertices[Clustering Coefficient],"&gt;= "&amp;R8)-COUNTIF(Vertices[Clustering Coefficient],"&gt;="&amp;R9)</f>
        <v>4</v>
      </c>
      <c r="T8" s="38" t="e">
        <f ca="1" t="shared" si="9"/>
        <v>#REF!</v>
      </c>
      <c r="U8" s="39" t="e">
        <f ca="1" t="shared" si="0"/>
        <v>#REF!</v>
      </c>
    </row>
    <row r="9" spans="1:21" ht="15">
      <c r="A9" s="122"/>
      <c r="B9" s="122"/>
      <c r="D9" s="33">
        <f t="shared" si="1"/>
        <v>0</v>
      </c>
      <c r="E9" s="3">
        <f>COUNTIF(Vertices[Degree],"&gt;= "&amp;D9)-COUNTIF(Vertices[Degree],"&gt;="&amp;D10)</f>
        <v>0</v>
      </c>
      <c r="F9" s="40">
        <f t="shared" si="2"/>
        <v>4.3235294117647065</v>
      </c>
      <c r="G9" s="41">
        <f>COUNTIF(Vertices[In-Degree],"&gt;= "&amp;F9)-COUNTIF(Vertices[In-Degree],"&gt;="&amp;F10)</f>
        <v>0</v>
      </c>
      <c r="H9" s="40">
        <f t="shared" si="3"/>
        <v>4.529411764705882</v>
      </c>
      <c r="I9" s="41">
        <f>COUNTIF(Vertices[Out-Degree],"&gt;= "&amp;H9)-COUNTIF(Vertices[Out-Degree],"&gt;="&amp;H10)</f>
        <v>9</v>
      </c>
      <c r="J9" s="40">
        <f t="shared" si="4"/>
        <v>3375.0587255000005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0.01303585294117647</v>
      </c>
      <c r="O9" s="41">
        <f>COUNTIF(Vertices[Eigenvector Centrality],"&gt;= "&amp;N9)-COUNTIF(Vertices[Eigenvector Centrality],"&gt;="&amp;N10)</f>
        <v>0</v>
      </c>
      <c r="P9" s="40">
        <f t="shared" si="7"/>
        <v>2.028320029411765</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5157</v>
      </c>
      <c r="B10" s="35">
        <v>5</v>
      </c>
      <c r="D10" s="33">
        <f t="shared" si="1"/>
        <v>0</v>
      </c>
      <c r="E10" s="3">
        <f>COUNTIF(Vertices[Degree],"&gt;= "&amp;D10)-COUNTIF(Vertices[Degree],"&gt;="&amp;D11)</f>
        <v>0</v>
      </c>
      <c r="F10" s="38">
        <f t="shared" si="2"/>
        <v>4.9411764705882355</v>
      </c>
      <c r="G10" s="39">
        <f>COUNTIF(Vertices[In-Degree],"&gt;= "&amp;F10)-COUNTIF(Vertices[In-Degree],"&gt;="&amp;F11)</f>
        <v>6</v>
      </c>
      <c r="H10" s="38">
        <f t="shared" si="3"/>
        <v>5.176470588235294</v>
      </c>
      <c r="I10" s="39">
        <f>COUNTIF(Vertices[Out-Degree],"&gt;= "&amp;H10)-COUNTIF(Vertices[Out-Degree],"&gt;="&amp;H11)</f>
        <v>0</v>
      </c>
      <c r="J10" s="38">
        <f t="shared" si="4"/>
        <v>3857.2099720000006</v>
      </c>
      <c r="K10" s="39">
        <f>COUNTIF(Vertices[Betweenness Centrality],"&gt;= "&amp;J10)-COUNTIF(Vertices[Betweenness Centrality],"&gt;="&amp;J11)</f>
        <v>6</v>
      </c>
      <c r="L10" s="38">
        <f t="shared" si="5"/>
        <v>0.23529411764705885</v>
      </c>
      <c r="M10" s="39">
        <f>COUNTIF(Vertices[Closeness Centrality],"&gt;= "&amp;L10)-COUNTIF(Vertices[Closeness Centrality],"&gt;="&amp;L11)</f>
        <v>2</v>
      </c>
      <c r="N10" s="38">
        <f t="shared" si="6"/>
        <v>0.014898117647058824</v>
      </c>
      <c r="O10" s="39">
        <f>COUNTIF(Vertices[Eigenvector Centrality],"&gt;= "&amp;N10)-COUNTIF(Vertices[Eigenvector Centrality],"&gt;="&amp;N11)</f>
        <v>1</v>
      </c>
      <c r="P10" s="38">
        <f t="shared" si="7"/>
        <v>2.2693671764705883</v>
      </c>
      <c r="Q10" s="39">
        <f>COUNTIF(Vertices[PageRank],"&gt;= "&amp;P10)-COUNTIF(Vertices[PageRank],"&gt;="&amp;P11)</f>
        <v>4</v>
      </c>
      <c r="R10" s="38">
        <f t="shared" si="8"/>
        <v>0.23529411764705885</v>
      </c>
      <c r="S10" s="44">
        <f>COUNTIF(Vertices[Clustering Coefficient],"&gt;= "&amp;R10)-COUNTIF(Vertices[Clustering Coefficient],"&gt;="&amp;R11)</f>
        <v>6</v>
      </c>
      <c r="T10" s="38" t="e">
        <f ca="1" t="shared" si="9"/>
        <v>#REF!</v>
      </c>
      <c r="U10" s="39" t="e">
        <f ca="1" t="shared" si="0"/>
        <v>#REF!</v>
      </c>
    </row>
    <row r="11" spans="1:21" ht="15">
      <c r="A11" s="122"/>
      <c r="B11" s="122"/>
      <c r="D11" s="33">
        <f t="shared" si="1"/>
        <v>0</v>
      </c>
      <c r="E11" s="3">
        <f>COUNTIF(Vertices[Degree],"&gt;= "&amp;D11)-COUNTIF(Vertices[Degree],"&gt;="&amp;D12)</f>
        <v>0</v>
      </c>
      <c r="F11" s="40">
        <f t="shared" si="2"/>
        <v>5.5588235294117645</v>
      </c>
      <c r="G11" s="41">
        <f>COUNTIF(Vertices[In-Degree],"&gt;= "&amp;F11)-COUNTIF(Vertices[In-Degree],"&gt;="&amp;F12)</f>
        <v>3</v>
      </c>
      <c r="H11" s="40">
        <f t="shared" si="3"/>
        <v>5.8235294117647065</v>
      </c>
      <c r="I11" s="41">
        <f>COUNTIF(Vertices[Out-Degree],"&gt;= "&amp;H11)-COUNTIF(Vertices[Out-Degree],"&gt;="&amp;H12)</f>
        <v>7</v>
      </c>
      <c r="J11" s="40">
        <f t="shared" si="4"/>
        <v>4339.3612185</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0.016760382352941177</v>
      </c>
      <c r="O11" s="41">
        <f>COUNTIF(Vertices[Eigenvector Centrality],"&gt;= "&amp;N11)-COUNTIF(Vertices[Eigenvector Centrality],"&gt;="&amp;N12)</f>
        <v>0</v>
      </c>
      <c r="P11" s="40">
        <f t="shared" si="7"/>
        <v>2.5104143235294116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523</v>
      </c>
      <c r="B12" s="35">
        <v>179</v>
      </c>
      <c r="D12" s="33">
        <f t="shared" si="1"/>
        <v>0</v>
      </c>
      <c r="E12" s="3">
        <f>COUNTIF(Vertices[Degree],"&gt;= "&amp;D12)-COUNTIF(Vertices[Degree],"&gt;="&amp;D13)</f>
        <v>0</v>
      </c>
      <c r="F12" s="38">
        <f t="shared" si="2"/>
        <v>6.1764705882352935</v>
      </c>
      <c r="G12" s="39">
        <f>COUNTIF(Vertices[In-Degree],"&gt;= "&amp;F12)-COUNTIF(Vertices[In-Degree],"&gt;="&amp;F13)</f>
        <v>0</v>
      </c>
      <c r="H12" s="38">
        <f t="shared" si="3"/>
        <v>6.470588235294119</v>
      </c>
      <c r="I12" s="39">
        <f>COUNTIF(Vertices[Out-Degree],"&gt;= "&amp;H12)-COUNTIF(Vertices[Out-Degree],"&gt;="&amp;H13)</f>
        <v>1</v>
      </c>
      <c r="J12" s="38">
        <f t="shared" si="4"/>
        <v>4821.512465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0.01862264705882353</v>
      </c>
      <c r="O12" s="39">
        <f>COUNTIF(Vertices[Eigenvector Centrality],"&gt;= "&amp;N12)-COUNTIF(Vertices[Eigenvector Centrality],"&gt;="&amp;N13)</f>
        <v>0</v>
      </c>
      <c r="P12" s="38">
        <f t="shared" si="7"/>
        <v>2.751461470588235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524</v>
      </c>
      <c r="B13" s="35">
        <v>185</v>
      </c>
      <c r="D13" s="33">
        <f t="shared" si="1"/>
        <v>0</v>
      </c>
      <c r="E13" s="3">
        <f>COUNTIF(Vertices[Degree],"&gt;= "&amp;D13)-COUNTIF(Vertices[Degree],"&gt;="&amp;D14)</f>
        <v>0</v>
      </c>
      <c r="F13" s="40">
        <f t="shared" si="2"/>
        <v>6.7941176470588225</v>
      </c>
      <c r="G13" s="41">
        <f>COUNTIF(Vertices[In-Degree],"&gt;= "&amp;F13)-COUNTIF(Vertices[In-Degree],"&gt;="&amp;F14)</f>
        <v>1</v>
      </c>
      <c r="H13" s="40">
        <f t="shared" si="3"/>
        <v>7.117647058823531</v>
      </c>
      <c r="I13" s="41">
        <f>COUNTIF(Vertices[Out-Degree],"&gt;= "&amp;H13)-COUNTIF(Vertices[Out-Degree],"&gt;="&amp;H14)</f>
        <v>0</v>
      </c>
      <c r="J13" s="40">
        <f t="shared" si="4"/>
        <v>5303.663711499999</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0.02048491176470588</v>
      </c>
      <c r="O13" s="41">
        <f>COUNTIF(Vertices[Eigenvector Centrality],"&gt;= "&amp;N13)-COUNTIF(Vertices[Eigenvector Centrality],"&gt;="&amp;N14)</f>
        <v>9</v>
      </c>
      <c r="P13" s="40">
        <f t="shared" si="7"/>
        <v>2.9925086176470583</v>
      </c>
      <c r="Q13" s="41">
        <f>COUNTIF(Vertices[PageRank],"&gt;= "&amp;P13)-COUNTIF(Vertices[PageRank],"&gt;="&amp;P14)</f>
        <v>0</v>
      </c>
      <c r="R13" s="40">
        <f t="shared" si="8"/>
        <v>0.3235294117647059</v>
      </c>
      <c r="S13" s="45">
        <f>COUNTIF(Vertices[Clustering Coefficient],"&gt;= "&amp;R13)-COUNTIF(Vertices[Clustering Coefficient],"&gt;="&amp;R14)</f>
        <v>17</v>
      </c>
      <c r="T13" s="40" t="e">
        <f ca="1" t="shared" si="9"/>
        <v>#REF!</v>
      </c>
      <c r="U13" s="41" t="e">
        <f ca="1" t="shared" si="0"/>
        <v>#REF!</v>
      </c>
    </row>
    <row r="14" spans="1:21" ht="15">
      <c r="A14" s="35" t="s">
        <v>522</v>
      </c>
      <c r="B14" s="35">
        <v>91</v>
      </c>
      <c r="D14" s="33">
        <f t="shared" si="1"/>
        <v>0</v>
      </c>
      <c r="E14" s="3">
        <f>COUNTIF(Vertices[Degree],"&gt;= "&amp;D14)-COUNTIF(Vertices[Degree],"&gt;="&amp;D15)</f>
        <v>0</v>
      </c>
      <c r="F14" s="38">
        <f t="shared" si="2"/>
        <v>7.4117647058823515</v>
      </c>
      <c r="G14" s="39">
        <f>COUNTIF(Vertices[In-Degree],"&gt;= "&amp;F14)-COUNTIF(Vertices[In-Degree],"&gt;="&amp;F15)</f>
        <v>1</v>
      </c>
      <c r="H14" s="38">
        <f t="shared" si="3"/>
        <v>7.764705882352943</v>
      </c>
      <c r="I14" s="39">
        <f>COUNTIF(Vertices[Out-Degree],"&gt;= "&amp;H14)-COUNTIF(Vertices[Out-Degree],"&gt;="&amp;H15)</f>
        <v>1</v>
      </c>
      <c r="J14" s="38">
        <f t="shared" si="4"/>
        <v>5785.814957999999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0.02234717647058823</v>
      </c>
      <c r="O14" s="39">
        <f>COUNTIF(Vertices[Eigenvector Centrality],"&gt;= "&amp;N14)-COUNTIF(Vertices[Eigenvector Centrality],"&gt;="&amp;N15)</f>
        <v>0</v>
      </c>
      <c r="P14" s="38">
        <f t="shared" si="7"/>
        <v>3.2335557647058817</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187</v>
      </c>
      <c r="B15" s="35">
        <v>18</v>
      </c>
      <c r="D15" s="33">
        <f t="shared" si="1"/>
        <v>0</v>
      </c>
      <c r="E15" s="3">
        <f>COUNTIF(Vertices[Degree],"&gt;= "&amp;D15)-COUNTIF(Vertices[Degree],"&gt;="&amp;D16)</f>
        <v>0</v>
      </c>
      <c r="F15" s="40">
        <f t="shared" si="2"/>
        <v>8.02941176470588</v>
      </c>
      <c r="G15" s="41">
        <f>COUNTIF(Vertices[In-Degree],"&gt;= "&amp;F15)-COUNTIF(Vertices[In-Degree],"&gt;="&amp;F16)</f>
        <v>0</v>
      </c>
      <c r="H15" s="40">
        <f t="shared" si="3"/>
        <v>8.411764705882355</v>
      </c>
      <c r="I15" s="41">
        <f>COUNTIF(Vertices[Out-Degree],"&gt;= "&amp;H15)-COUNTIF(Vertices[Out-Degree],"&gt;="&amp;H16)</f>
        <v>1</v>
      </c>
      <c r="J15" s="40">
        <f t="shared" si="4"/>
        <v>6267.966204499999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0.024209441176470583</v>
      </c>
      <c r="O15" s="41">
        <f>COUNTIF(Vertices[Eigenvector Centrality],"&gt;= "&amp;N15)-COUNTIF(Vertices[Eigenvector Centrality],"&gt;="&amp;N16)</f>
        <v>2</v>
      </c>
      <c r="P15" s="40">
        <f t="shared" si="7"/>
        <v>3.474602911764705</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525</v>
      </c>
      <c r="B16" s="35">
        <v>66</v>
      </c>
      <c r="D16" s="33">
        <f t="shared" si="1"/>
        <v>0</v>
      </c>
      <c r="E16" s="3">
        <f>COUNTIF(Vertices[Degree],"&gt;= "&amp;D16)-COUNTIF(Vertices[Degree],"&gt;="&amp;D17)</f>
        <v>0</v>
      </c>
      <c r="F16" s="38">
        <f t="shared" si="2"/>
        <v>8.64705882352941</v>
      </c>
      <c r="G16" s="39">
        <f>COUNTIF(Vertices[In-Degree],"&gt;= "&amp;F16)-COUNTIF(Vertices[In-Degree],"&gt;="&amp;F17)</f>
        <v>0</v>
      </c>
      <c r="H16" s="38">
        <f t="shared" si="3"/>
        <v>9.058823529411766</v>
      </c>
      <c r="I16" s="39">
        <f>COUNTIF(Vertices[Out-Degree],"&gt;= "&amp;H16)-COUNTIF(Vertices[Out-Degree],"&gt;="&amp;H17)</f>
        <v>0</v>
      </c>
      <c r="J16" s="38">
        <f t="shared" si="4"/>
        <v>6750.117450999998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0.026071705882352934</v>
      </c>
      <c r="O16" s="39">
        <f>COUNTIF(Vertices[Eigenvector Centrality],"&gt;= "&amp;N16)-COUNTIF(Vertices[Eigenvector Centrality],"&gt;="&amp;N17)</f>
        <v>2</v>
      </c>
      <c r="P16" s="38">
        <f t="shared" si="7"/>
        <v>3.7156500588235284</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9.264705882352938</v>
      </c>
      <c r="G17" s="41">
        <f>COUNTIF(Vertices[In-Degree],"&gt;= "&amp;F17)-COUNTIF(Vertices[In-Degree],"&gt;="&amp;F18)</f>
        <v>0</v>
      </c>
      <c r="H17" s="40">
        <f t="shared" si="3"/>
        <v>9.705882352941178</v>
      </c>
      <c r="I17" s="41">
        <f>COUNTIF(Vertices[Out-Degree],"&gt;= "&amp;H17)-COUNTIF(Vertices[Out-Degree],"&gt;="&amp;H18)</f>
        <v>4</v>
      </c>
      <c r="J17" s="40">
        <f t="shared" si="4"/>
        <v>7232.268697499998</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0.027933970588235286</v>
      </c>
      <c r="O17" s="41">
        <f>COUNTIF(Vertices[Eigenvector Centrality],"&gt;= "&amp;N17)-COUNTIF(Vertices[Eigenvector Centrality],"&gt;="&amp;N18)</f>
        <v>2</v>
      </c>
      <c r="P17" s="40">
        <f t="shared" si="7"/>
        <v>3.9566972058823517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9.882352941176467</v>
      </c>
      <c r="G18" s="39">
        <f>COUNTIF(Vertices[In-Degree],"&gt;= "&amp;F18)-COUNTIF(Vertices[In-Degree],"&gt;="&amp;F19)</f>
        <v>0</v>
      </c>
      <c r="H18" s="38">
        <f t="shared" si="3"/>
        <v>10.352941176470589</v>
      </c>
      <c r="I18" s="39">
        <f>COUNTIF(Vertices[Out-Degree],"&gt;= "&amp;H18)-COUNTIF(Vertices[Out-Degree],"&gt;="&amp;H19)</f>
        <v>0</v>
      </c>
      <c r="J18" s="38">
        <f t="shared" si="4"/>
        <v>7714.4199439999975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0.029796235294117637</v>
      </c>
      <c r="O18" s="39">
        <f>COUNTIF(Vertices[Eigenvector Centrality],"&gt;= "&amp;N18)-COUNTIF(Vertices[Eigenvector Centrality],"&gt;="&amp;N19)</f>
        <v>1</v>
      </c>
      <c r="P18" s="38">
        <f t="shared" si="7"/>
        <v>4.197744352941175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10.499999999999996</v>
      </c>
      <c r="G19" s="41">
        <f>COUNTIF(Vertices[In-Degree],"&gt;= "&amp;F19)-COUNTIF(Vertices[In-Degree],"&gt;="&amp;F20)</f>
        <v>0</v>
      </c>
      <c r="H19" s="40">
        <f t="shared" si="3"/>
        <v>11</v>
      </c>
      <c r="I19" s="41">
        <f>COUNTIF(Vertices[Out-Degree],"&gt;= "&amp;H19)-COUNTIF(Vertices[Out-Degree],"&gt;="&amp;H20)</f>
        <v>1</v>
      </c>
      <c r="J19" s="40">
        <f t="shared" si="4"/>
        <v>8196.571190499997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0.03165849999999999</v>
      </c>
      <c r="O19" s="41">
        <f>COUNTIF(Vertices[Eigenvector Centrality],"&gt;= "&amp;N19)-COUNTIF(Vertices[Eigenvector Centrality],"&gt;="&amp;N20)</f>
        <v>0</v>
      </c>
      <c r="P19" s="40">
        <f t="shared" si="7"/>
        <v>4.438791499999999</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0.016129032258064516</v>
      </c>
      <c r="D20" s="33">
        <f t="shared" si="1"/>
        <v>0</v>
      </c>
      <c r="E20" s="3">
        <f>COUNTIF(Vertices[Degree],"&gt;= "&amp;D20)-COUNTIF(Vertices[Degree],"&gt;="&amp;D21)</f>
        <v>0</v>
      </c>
      <c r="F20" s="38">
        <f t="shared" si="2"/>
        <v>11.117647058823525</v>
      </c>
      <c r="G20" s="39">
        <f>COUNTIF(Vertices[In-Degree],"&gt;= "&amp;F20)-COUNTIF(Vertices[In-Degree],"&gt;="&amp;F21)</f>
        <v>0</v>
      </c>
      <c r="H20" s="38">
        <f t="shared" si="3"/>
        <v>11.647058823529411</v>
      </c>
      <c r="I20" s="39">
        <f>COUNTIF(Vertices[Out-Degree],"&gt;= "&amp;H20)-COUNTIF(Vertices[Out-Degree],"&gt;="&amp;H21)</f>
        <v>0</v>
      </c>
      <c r="J20" s="38">
        <f t="shared" si="4"/>
        <v>8678.722436999997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0.03352076470588235</v>
      </c>
      <c r="O20" s="39">
        <f>COUNTIF(Vertices[Eigenvector Centrality],"&gt;= "&amp;N20)-COUNTIF(Vertices[Eigenvector Centrality],"&gt;="&amp;N21)</f>
        <v>1</v>
      </c>
      <c r="P20" s="38">
        <f t="shared" si="7"/>
        <v>4.679838647058823</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0.031746031746031744</v>
      </c>
      <c r="D21" s="33">
        <f t="shared" si="1"/>
        <v>0</v>
      </c>
      <c r="E21" s="3">
        <f>COUNTIF(Vertices[Degree],"&gt;= "&amp;D21)-COUNTIF(Vertices[Degree],"&gt;="&amp;D22)</f>
        <v>0</v>
      </c>
      <c r="F21" s="40">
        <f t="shared" si="2"/>
        <v>11.735294117647054</v>
      </c>
      <c r="G21" s="41">
        <f>COUNTIF(Vertices[In-Degree],"&gt;= "&amp;F21)-COUNTIF(Vertices[In-Degree],"&gt;="&amp;F22)</f>
        <v>1</v>
      </c>
      <c r="H21" s="40">
        <f t="shared" si="3"/>
        <v>12.294117647058822</v>
      </c>
      <c r="I21" s="41">
        <f>COUNTIF(Vertices[Out-Degree],"&gt;= "&amp;H21)-COUNTIF(Vertices[Out-Degree],"&gt;="&amp;H22)</f>
        <v>0</v>
      </c>
      <c r="J21" s="40">
        <f t="shared" si="4"/>
        <v>9160.873683499996</v>
      </c>
      <c r="K21" s="41">
        <f>COUNTIF(Vertices[Betweenness Centrality],"&gt;= "&amp;J21)-COUNTIF(Vertices[Betweenness Centrality],"&gt;="&amp;J22)</f>
        <v>2</v>
      </c>
      <c r="L21" s="40">
        <f t="shared" si="5"/>
        <v>0.5588235294117647</v>
      </c>
      <c r="M21" s="41">
        <f>COUNTIF(Vertices[Closeness Centrality],"&gt;= "&amp;L21)-COUNTIF(Vertices[Closeness Centrality],"&gt;="&amp;L22)</f>
        <v>0</v>
      </c>
      <c r="N21" s="40">
        <f t="shared" si="6"/>
        <v>0.0353830294117647</v>
      </c>
      <c r="O21" s="41">
        <f>COUNTIF(Vertices[Eigenvector Centrality],"&gt;= "&amp;N21)-COUNTIF(Vertices[Eigenvector Centrality],"&gt;="&amp;N22)</f>
        <v>0</v>
      </c>
      <c r="P21" s="40">
        <f t="shared" si="7"/>
        <v>4.9208857941176465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12.352941176470583</v>
      </c>
      <c r="G22" s="39">
        <f>COUNTIF(Vertices[In-Degree],"&gt;= "&amp;F22)-COUNTIF(Vertices[In-Degree],"&gt;="&amp;F23)</f>
        <v>0</v>
      </c>
      <c r="H22" s="38">
        <f t="shared" si="3"/>
        <v>12.941176470588234</v>
      </c>
      <c r="I22" s="39">
        <f>COUNTIF(Vertices[Out-Degree],"&gt;= "&amp;H22)-COUNTIF(Vertices[Out-Degree],"&gt;="&amp;H23)</f>
        <v>0</v>
      </c>
      <c r="J22" s="38">
        <f t="shared" si="4"/>
        <v>9643.024929999996</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0.03724529411764706</v>
      </c>
      <c r="O22" s="39">
        <f>COUNTIF(Vertices[Eigenvector Centrality],"&gt;= "&amp;N22)-COUNTIF(Vertices[Eigenvector Centrality],"&gt;="&amp;N23)</f>
        <v>0</v>
      </c>
      <c r="P22" s="38">
        <f t="shared" si="7"/>
        <v>5.16193294117647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12.970588235294112</v>
      </c>
      <c r="G23" s="41">
        <f>COUNTIF(Vertices[In-Degree],"&gt;= "&amp;F23)-COUNTIF(Vertices[In-Degree],"&gt;="&amp;F24)</f>
        <v>1</v>
      </c>
      <c r="H23" s="40">
        <f t="shared" si="3"/>
        <v>13.588235294117645</v>
      </c>
      <c r="I23" s="41">
        <f>COUNTIF(Vertices[Out-Degree],"&gt;= "&amp;H23)-COUNTIF(Vertices[Out-Degree],"&gt;="&amp;H24)</f>
        <v>0</v>
      </c>
      <c r="J23" s="40">
        <f t="shared" si="4"/>
        <v>10125.176176499996</v>
      </c>
      <c r="K23" s="41">
        <f>COUNTIF(Vertices[Betweenness Centrality],"&gt;= "&amp;J23)-COUNTIF(Vertices[Betweenness Centrality],"&gt;="&amp;J24)</f>
        <v>2</v>
      </c>
      <c r="L23" s="40">
        <f t="shared" si="5"/>
        <v>0.6176470588235294</v>
      </c>
      <c r="M23" s="41">
        <f>COUNTIF(Vertices[Closeness Centrality],"&gt;= "&amp;L23)-COUNTIF(Vertices[Closeness Centrality],"&gt;="&amp;L24)</f>
        <v>0</v>
      </c>
      <c r="N23" s="40">
        <f t="shared" si="6"/>
        <v>0.03910755882352941</v>
      </c>
      <c r="O23" s="41">
        <f>COUNTIF(Vertices[Eigenvector Centrality],"&gt;= "&amp;N23)-COUNTIF(Vertices[Eigenvector Centrality],"&gt;="&amp;N24)</f>
        <v>0</v>
      </c>
      <c r="P23" s="40">
        <f t="shared" si="7"/>
        <v>5.402980088235294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13.588235294117641</v>
      </c>
      <c r="G24" s="39">
        <f>COUNTIF(Vertices[In-Degree],"&gt;= "&amp;F24)-COUNTIF(Vertices[In-Degree],"&gt;="&amp;F25)</f>
        <v>0</v>
      </c>
      <c r="H24" s="38">
        <f t="shared" si="3"/>
        <v>14.235294117647056</v>
      </c>
      <c r="I24" s="39">
        <f>COUNTIF(Vertices[Out-Degree],"&gt;= "&amp;H24)-COUNTIF(Vertices[Out-Degree],"&gt;="&amp;H25)</f>
        <v>0</v>
      </c>
      <c r="J24" s="38">
        <f t="shared" si="4"/>
        <v>10607.327422999995</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0.04096982352941177</v>
      </c>
      <c r="O24" s="39">
        <f>COUNTIF(Vertices[Eigenvector Centrality],"&gt;= "&amp;N24)-COUNTIF(Vertices[Eigenvector Centrality],"&gt;="&amp;N25)</f>
        <v>1</v>
      </c>
      <c r="P24" s="38">
        <f t="shared" si="7"/>
        <v>5.644027235294118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246</v>
      </c>
      <c r="D25" s="33">
        <f t="shared" si="1"/>
        <v>0</v>
      </c>
      <c r="E25" s="3">
        <f>COUNTIF(Vertices[Degree],"&gt;= "&amp;D25)-COUNTIF(Vertices[Degree],"&gt;="&amp;D26)</f>
        <v>0</v>
      </c>
      <c r="F25" s="40">
        <f t="shared" si="2"/>
        <v>14.20588235294117</v>
      </c>
      <c r="G25" s="41">
        <f>COUNTIF(Vertices[In-Degree],"&gt;= "&amp;F25)-COUNTIF(Vertices[In-Degree],"&gt;="&amp;F26)</f>
        <v>0</v>
      </c>
      <c r="H25" s="40">
        <f t="shared" si="3"/>
        <v>14.882352941176467</v>
      </c>
      <c r="I25" s="41">
        <f>COUNTIF(Vertices[Out-Degree],"&gt;= "&amp;H25)-COUNTIF(Vertices[Out-Degree],"&gt;="&amp;H26)</f>
        <v>1</v>
      </c>
      <c r="J25" s="40">
        <f t="shared" si="4"/>
        <v>11089.478669499995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0.04283208823529412</v>
      </c>
      <c r="O25" s="41">
        <f>COUNTIF(Vertices[Eigenvector Centrality],"&gt;= "&amp;N25)-COUNTIF(Vertices[Eigenvector Centrality],"&gt;="&amp;N26)</f>
        <v>0</v>
      </c>
      <c r="P25" s="40">
        <f t="shared" si="7"/>
        <v>5.885074382352942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500</v>
      </c>
      <c r="D26" s="33">
        <f t="shared" si="1"/>
        <v>0</v>
      </c>
      <c r="E26" s="3">
        <f>COUNTIF(Vertices[Degree],"&gt;= "&amp;D26)-COUNTIF(Vertices[Degree],"&gt;="&amp;D27)</f>
        <v>0</v>
      </c>
      <c r="F26" s="38">
        <f t="shared" si="2"/>
        <v>14.8235294117647</v>
      </c>
      <c r="G26" s="39">
        <f>COUNTIF(Vertices[In-Degree],"&gt;= "&amp;F26)-COUNTIF(Vertices[In-Degree],"&gt;="&amp;F27)</f>
        <v>0</v>
      </c>
      <c r="H26" s="38">
        <f t="shared" si="3"/>
        <v>15.529411764705879</v>
      </c>
      <c r="I26" s="39">
        <f>COUNTIF(Vertices[Out-Degree],"&gt;= "&amp;H26)-COUNTIF(Vertices[Out-Degree],"&gt;="&amp;H27)</f>
        <v>0</v>
      </c>
      <c r="J26" s="38">
        <f t="shared" si="4"/>
        <v>11571.629915999994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0.04469435294117648</v>
      </c>
      <c r="O26" s="39">
        <f>COUNTIF(Vertices[Eigenvector Centrality],"&gt;= "&amp;N26)-COUNTIF(Vertices[Eigenvector Centrality],"&gt;="&amp;N27)</f>
        <v>0</v>
      </c>
      <c r="P26" s="38">
        <f t="shared" si="7"/>
        <v>6.1261215294117655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15.441176470588228</v>
      </c>
      <c r="G27" s="41">
        <f>COUNTIF(Vertices[In-Degree],"&gt;= "&amp;F27)-COUNTIF(Vertices[In-Degree],"&gt;="&amp;F28)</f>
        <v>0</v>
      </c>
      <c r="H27" s="40">
        <f t="shared" si="3"/>
        <v>16.17647058823529</v>
      </c>
      <c r="I27" s="41">
        <f>COUNTIF(Vertices[Out-Degree],"&gt;= "&amp;H27)-COUNTIF(Vertices[Out-Degree],"&gt;="&amp;H28)</f>
        <v>0</v>
      </c>
      <c r="J27" s="40">
        <f t="shared" si="4"/>
        <v>12053.781162499994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0.04655661764705883</v>
      </c>
      <c r="O27" s="41">
        <f>COUNTIF(Vertices[Eigenvector Centrality],"&gt;= "&amp;N27)-COUNTIF(Vertices[Eigenvector Centrality],"&gt;="&amp;N28)</f>
        <v>0</v>
      </c>
      <c r="P27" s="40">
        <f t="shared" si="7"/>
        <v>6.367168676470589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16.058823529411757</v>
      </c>
      <c r="G28" s="39">
        <f>COUNTIF(Vertices[In-Degree],"&gt;= "&amp;F28)-COUNTIF(Vertices[In-Degree],"&gt;="&amp;F29)</f>
        <v>0</v>
      </c>
      <c r="H28" s="38">
        <f t="shared" si="3"/>
        <v>16.823529411764703</v>
      </c>
      <c r="I28" s="39">
        <f>COUNTIF(Vertices[Out-Degree],"&gt;= "&amp;H28)-COUNTIF(Vertices[Out-Degree],"&gt;="&amp;H29)</f>
        <v>0</v>
      </c>
      <c r="J28" s="38">
        <f t="shared" si="4"/>
        <v>12535.932408999994</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0.04841888235294119</v>
      </c>
      <c r="O28" s="39">
        <f>COUNTIF(Vertices[Eigenvector Centrality],"&gt;= "&amp;N28)-COUNTIF(Vertices[Eigenvector Centrality],"&gt;="&amp;N29)</f>
        <v>0</v>
      </c>
      <c r="P28" s="38">
        <f t="shared" si="7"/>
        <v>6.608215823529413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5.079816</v>
      </c>
      <c r="D29" s="33">
        <f t="shared" si="1"/>
        <v>0</v>
      </c>
      <c r="E29" s="3">
        <f>COUNTIF(Vertices[Degree],"&gt;= "&amp;D29)-COUNTIF(Vertices[Degree],"&gt;="&amp;D30)</f>
        <v>0</v>
      </c>
      <c r="F29" s="40">
        <f t="shared" si="2"/>
        <v>16.676470588235286</v>
      </c>
      <c r="G29" s="41">
        <f>COUNTIF(Vertices[In-Degree],"&gt;= "&amp;F29)-COUNTIF(Vertices[In-Degree],"&gt;="&amp;F30)</f>
        <v>1</v>
      </c>
      <c r="H29" s="40">
        <f t="shared" si="3"/>
        <v>17.470588235294116</v>
      </c>
      <c r="I29" s="41">
        <f>COUNTIF(Vertices[Out-Degree],"&gt;= "&amp;H29)-COUNTIF(Vertices[Out-Degree],"&gt;="&amp;H30)</f>
        <v>0</v>
      </c>
      <c r="J29" s="40">
        <f t="shared" si="4"/>
        <v>13018.083655499993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0.05028114705882354</v>
      </c>
      <c r="O29" s="41">
        <f>COUNTIF(Vertices[Eigenvector Centrality],"&gt;= "&amp;N29)-COUNTIF(Vertices[Eigenvector Centrality],"&gt;="&amp;N30)</f>
        <v>0</v>
      </c>
      <c r="P29" s="40">
        <f t="shared" si="7"/>
        <v>6.849262970588237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17.294117647058815</v>
      </c>
      <c r="G30" s="39">
        <f>COUNTIF(Vertices[In-Degree],"&gt;= "&amp;F30)-COUNTIF(Vertices[In-Degree],"&gt;="&amp;F31)</f>
        <v>0</v>
      </c>
      <c r="H30" s="38">
        <f t="shared" si="3"/>
        <v>18.11764705882353</v>
      </c>
      <c r="I30" s="39">
        <f>COUNTIF(Vertices[Out-Degree],"&gt;= "&amp;H30)-COUNTIF(Vertices[Out-Degree],"&gt;="&amp;H31)</f>
        <v>0</v>
      </c>
      <c r="J30" s="38">
        <f t="shared" si="4"/>
        <v>13500.234901999993</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0.052143411764705896</v>
      </c>
      <c r="O30" s="39">
        <f>COUNTIF(Vertices[Eigenvector Centrality],"&gt;= "&amp;N30)-COUNTIF(Vertices[Eigenvector Centrality],"&gt;="&amp;N31)</f>
        <v>0</v>
      </c>
      <c r="P30" s="38">
        <f t="shared" si="7"/>
        <v>7.090310117647061</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0.005016380016380016</v>
      </c>
      <c r="D31" s="33">
        <f t="shared" si="1"/>
        <v>0</v>
      </c>
      <c r="E31" s="3">
        <f>COUNTIF(Vertices[Degree],"&gt;= "&amp;D31)-COUNTIF(Vertices[Degree],"&gt;="&amp;D32)</f>
        <v>0</v>
      </c>
      <c r="F31" s="40">
        <f t="shared" si="2"/>
        <v>17.911764705882344</v>
      </c>
      <c r="G31" s="41">
        <f>COUNTIF(Vertices[In-Degree],"&gt;= "&amp;F31)-COUNTIF(Vertices[In-Degree],"&gt;="&amp;F32)</f>
        <v>2</v>
      </c>
      <c r="H31" s="40">
        <f t="shared" si="3"/>
        <v>18.764705882352942</v>
      </c>
      <c r="I31" s="41">
        <f>COUNTIF(Vertices[Out-Degree],"&gt;= "&amp;H31)-COUNTIF(Vertices[Out-Degree],"&gt;="&amp;H32)</f>
        <v>0</v>
      </c>
      <c r="J31" s="40">
        <f t="shared" si="4"/>
        <v>13982.386148499992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0.05400567647058825</v>
      </c>
      <c r="O31" s="41">
        <f>COUNTIF(Vertices[Eigenvector Centrality],"&gt;= "&amp;N31)-COUNTIF(Vertices[Eigenvector Centrality],"&gt;="&amp;N32)</f>
        <v>0</v>
      </c>
      <c r="P31" s="40">
        <f t="shared" si="7"/>
        <v>7.3313572647058844</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5158</v>
      </c>
      <c r="B32" s="35">
        <v>0.669511</v>
      </c>
      <c r="D32" s="33">
        <f t="shared" si="1"/>
        <v>0</v>
      </c>
      <c r="E32" s="3">
        <f>COUNTIF(Vertices[Degree],"&gt;= "&amp;D32)-COUNTIF(Vertices[Degree],"&gt;="&amp;D33)</f>
        <v>0</v>
      </c>
      <c r="F32" s="38">
        <f t="shared" si="2"/>
        <v>18.529411764705873</v>
      </c>
      <c r="G32" s="39">
        <f>COUNTIF(Vertices[In-Degree],"&gt;= "&amp;F32)-COUNTIF(Vertices[In-Degree],"&gt;="&amp;F33)</f>
        <v>1</v>
      </c>
      <c r="H32" s="38">
        <f t="shared" si="3"/>
        <v>19.411764705882355</v>
      </c>
      <c r="I32" s="39">
        <f>COUNTIF(Vertices[Out-Degree],"&gt;= "&amp;H32)-COUNTIF(Vertices[Out-Degree],"&gt;="&amp;H33)</f>
        <v>0</v>
      </c>
      <c r="J32" s="38">
        <f t="shared" si="4"/>
        <v>14464.537394999992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0.055867941176470606</v>
      </c>
      <c r="O32" s="39">
        <f>COUNTIF(Vertices[Eigenvector Centrality],"&gt;= "&amp;N32)-COUNTIF(Vertices[Eigenvector Centrality],"&gt;="&amp;N33)</f>
        <v>2</v>
      </c>
      <c r="P32" s="38">
        <f t="shared" si="7"/>
        <v>7.572404411764708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19.147058823529402</v>
      </c>
      <c r="G33" s="41">
        <f>COUNTIF(Vertices[In-Degree],"&gt;= "&amp;F33)-COUNTIF(Vertices[In-Degree],"&gt;="&amp;F34)</f>
        <v>0</v>
      </c>
      <c r="H33" s="40">
        <f t="shared" si="3"/>
        <v>20.058823529411768</v>
      </c>
      <c r="I33" s="41">
        <f>COUNTIF(Vertices[Out-Degree],"&gt;= "&amp;H33)-COUNTIF(Vertices[Out-Degree],"&gt;="&amp;H34)</f>
        <v>0</v>
      </c>
      <c r="J33" s="40">
        <f t="shared" si="4"/>
        <v>14946.688641499992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0.05773020588235296</v>
      </c>
      <c r="O33" s="41">
        <f>COUNTIF(Vertices[Eigenvector Centrality],"&gt;= "&amp;N33)-COUNTIF(Vertices[Eigenvector Centrality],"&gt;="&amp;N34)</f>
        <v>0</v>
      </c>
      <c r="P33" s="40">
        <f t="shared" si="7"/>
        <v>7.813451558823532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5159</v>
      </c>
      <c r="B34" s="35" t="s">
        <v>5174</v>
      </c>
      <c r="D34" s="33">
        <f t="shared" si="1"/>
        <v>0</v>
      </c>
      <c r="E34" s="3">
        <f>COUNTIF(Vertices[Degree],"&gt;= "&amp;D34)-COUNTIF(Vertices[Degree],"&gt;="&amp;D35)</f>
        <v>0</v>
      </c>
      <c r="F34" s="38">
        <f t="shared" si="2"/>
        <v>19.76470588235293</v>
      </c>
      <c r="G34" s="39">
        <f>COUNTIF(Vertices[In-Degree],"&gt;= "&amp;F34)-COUNTIF(Vertices[In-Degree],"&gt;="&amp;F35)</f>
        <v>1</v>
      </c>
      <c r="H34" s="38">
        <f t="shared" si="3"/>
        <v>20.70588235294118</v>
      </c>
      <c r="I34" s="39">
        <f>COUNTIF(Vertices[Out-Degree],"&gt;= "&amp;H34)-COUNTIF(Vertices[Out-Degree],"&gt;="&amp;H35)</f>
        <v>0</v>
      </c>
      <c r="J34" s="38">
        <f t="shared" si="4"/>
        <v>15428.839887999991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0.059592470588235316</v>
      </c>
      <c r="O34" s="39">
        <f>COUNTIF(Vertices[Eigenvector Centrality],"&gt;= "&amp;N34)-COUNTIF(Vertices[Eigenvector Centrality],"&gt;="&amp;N35)</f>
        <v>0</v>
      </c>
      <c r="P34" s="38">
        <f t="shared" si="7"/>
        <v>8.054498705882356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20.38235294117646</v>
      </c>
      <c r="G35" s="41">
        <f>COUNTIF(Vertices[In-Degree],"&gt;= "&amp;F35)-COUNTIF(Vertices[In-Degree],"&gt;="&amp;F36)</f>
        <v>0</v>
      </c>
      <c r="H35" s="40">
        <f t="shared" si="3"/>
        <v>21.352941176470594</v>
      </c>
      <c r="I35" s="41">
        <f>COUNTIF(Vertices[Out-Degree],"&gt;= "&amp;H35)-COUNTIF(Vertices[Out-Degree],"&gt;="&amp;H36)</f>
        <v>0</v>
      </c>
      <c r="J35" s="40">
        <f t="shared" si="4"/>
        <v>15910.991134499991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0.06145473529411767</v>
      </c>
      <c r="O35" s="41">
        <f>COUNTIF(Vertices[Eigenvector Centrality],"&gt;= "&amp;N35)-COUNTIF(Vertices[Eigenvector Centrality],"&gt;="&amp;N36)</f>
        <v>0</v>
      </c>
      <c r="P35" s="40">
        <f t="shared" si="7"/>
        <v>8.29554585294118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5160</v>
      </c>
      <c r="B36" s="35" t="s">
        <v>5853</v>
      </c>
      <c r="D36" s="33">
        <f>MAX(Vertices[Degree])</f>
        <v>0</v>
      </c>
      <c r="E36" s="3">
        <f>COUNTIF(Vertices[Degree],"&gt;= "&amp;D36)-COUNTIF(Vertices[Degree],"&gt;="&amp;#REF!)</f>
        <v>0</v>
      </c>
      <c r="F36" s="42">
        <f>MAX(Vertices[In-Degree])</f>
        <v>21</v>
      </c>
      <c r="G36" s="43">
        <f>COUNTIF(Vertices[In-Degree],"&gt;= "&amp;F36)-COUNTIF(Vertices[In-Degree],"&gt;="&amp;#REF!)</f>
        <v>2</v>
      </c>
      <c r="H36" s="42">
        <f>MAX(Vertices[Out-Degree])</f>
        <v>22</v>
      </c>
      <c r="I36" s="43">
        <f>COUNTIF(Vertices[Out-Degree],"&gt;= "&amp;H36)-COUNTIF(Vertices[Out-Degree],"&gt;="&amp;#REF!)</f>
        <v>1</v>
      </c>
      <c r="J36" s="42">
        <f>MAX(Vertices[Betweenness Centrality])</f>
        <v>16393.142381</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0.063317</v>
      </c>
      <c r="O36" s="43">
        <f>COUNTIF(Vertices[Eigenvector Centrality],"&gt;= "&amp;N36)-COUNTIF(Vertices[Eigenvector Centrality],"&gt;="&amp;#REF!)</f>
        <v>1</v>
      </c>
      <c r="P36" s="42">
        <f>MAX(Vertices[PageRank])</f>
        <v>8.536593</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5161</v>
      </c>
      <c r="B37" s="35" t="s">
        <v>5854</v>
      </c>
    </row>
    <row r="38" spans="1:2" ht="15">
      <c r="A38" s="122"/>
      <c r="B38" s="122"/>
    </row>
    <row r="39" spans="1:2" ht="15">
      <c r="A39" s="35" t="s">
        <v>5162</v>
      </c>
      <c r="B39" s="35" t="s">
        <v>5849</v>
      </c>
    </row>
    <row r="40" spans="1:2" ht="15">
      <c r="A40" s="35" t="s">
        <v>5163</v>
      </c>
      <c r="B40" s="35" t="s">
        <v>712</v>
      </c>
    </row>
    <row r="41" spans="1:2" ht="409.6">
      <c r="A41" s="35" t="s">
        <v>5164</v>
      </c>
      <c r="B41" s="54" t="s">
        <v>5850</v>
      </c>
    </row>
    <row r="42" spans="1:2" ht="15">
      <c r="A42" s="35" t="s">
        <v>5165</v>
      </c>
      <c r="B42" s="35" t="s">
        <v>5851</v>
      </c>
    </row>
    <row r="43" spans="1:2" ht="15">
      <c r="A43" s="35" t="s">
        <v>5166</v>
      </c>
      <c r="B43" s="35" t="s">
        <v>5852</v>
      </c>
    </row>
    <row r="44" spans="1:2" ht="15">
      <c r="A44" s="35" t="s">
        <v>5167</v>
      </c>
      <c r="B44" s="35" t="s">
        <v>2606</v>
      </c>
    </row>
    <row r="45" spans="1:2" ht="15">
      <c r="A45" s="35" t="s">
        <v>5168</v>
      </c>
      <c r="B45" s="35" t="s">
        <v>2606</v>
      </c>
    </row>
    <row r="46" spans="1:2" ht="15">
      <c r="A46" s="35" t="s">
        <v>5169</v>
      </c>
      <c r="B46" s="35" t="s">
        <v>2606</v>
      </c>
    </row>
    <row r="47" spans="1:2" ht="15">
      <c r="A47" s="35" t="s">
        <v>5170</v>
      </c>
      <c r="B47" s="35"/>
    </row>
    <row r="48" spans="1:2" ht="15">
      <c r="A48" s="35" t="s">
        <v>21</v>
      </c>
      <c r="B48" s="35"/>
    </row>
    <row r="49" spans="1:2" ht="15">
      <c r="A49" s="35" t="s">
        <v>5171</v>
      </c>
      <c r="B49" s="35" t="s">
        <v>32</v>
      </c>
    </row>
    <row r="50" spans="1:2" ht="15">
      <c r="A50" s="35" t="s">
        <v>5172</v>
      </c>
      <c r="B50" s="35"/>
    </row>
    <row r="51" spans="1:2" ht="15">
      <c r="A51" s="35" t="s">
        <v>5173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1.5387205387205387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1.5387205387205387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16393.142381</v>
      </c>
    </row>
    <row r="111" spans="1:2" ht="15">
      <c r="A111" s="34" t="s">
        <v>102</v>
      </c>
      <c r="B111" s="48">
        <f>_xlfn.IFERROR(AVERAGE(Vertices[Betweenness Centrality]),NoMetricMessage)</f>
        <v>834.5050505016843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0.08129626936026936</v>
      </c>
    </row>
    <row r="126" spans="1:2" ht="15">
      <c r="A126" s="34" t="s">
        <v>109</v>
      </c>
      <c r="B126" s="48">
        <f>_xlfn.IFERROR(MEDIAN(Vertices[Closeness Centrality]),NoMetricMessage)</f>
        <v>0.000873</v>
      </c>
    </row>
    <row r="137" spans="1:2" ht="15">
      <c r="A137" s="34" t="s">
        <v>112</v>
      </c>
      <c r="B137" s="48">
        <f>IF(COUNT(Vertices[Eigenvector Centrality])&gt;0,N2,NoMetricMessage)</f>
        <v>0</v>
      </c>
    </row>
    <row r="138" spans="1:2" ht="15">
      <c r="A138" s="34" t="s">
        <v>113</v>
      </c>
      <c r="B138" s="48">
        <f>IF(COUNT(Vertices[Eigenvector Centrality])&gt;0,N36,NoMetricMessage)</f>
        <v>0.063317</v>
      </c>
    </row>
    <row r="139" spans="1:2" ht="15">
      <c r="A139" s="34" t="s">
        <v>114</v>
      </c>
      <c r="B139" s="48">
        <f>_xlfn.IFERROR(AVERAGE(Vertices[Eigenvector Centrality]),NoMetricMessage)</f>
        <v>0.003367026936026934</v>
      </c>
    </row>
    <row r="140" spans="1:2" ht="15">
      <c r="A140" s="34" t="s">
        <v>115</v>
      </c>
      <c r="B140" s="48">
        <f>_xlfn.IFERROR(MEDIAN(Vertices[Eigenvector Centrality]),NoMetricMessage)</f>
        <v>0.000335</v>
      </c>
    </row>
    <row r="151" spans="1:2" ht="15">
      <c r="A151" s="34" t="s">
        <v>140</v>
      </c>
      <c r="B151" s="48">
        <f>IF(COUNT(Vertices[PageRank])&gt;0,P2,NoMetricMessage)</f>
        <v>0.34099</v>
      </c>
    </row>
    <row r="152" spans="1:2" ht="15">
      <c r="A152" s="34" t="s">
        <v>141</v>
      </c>
      <c r="B152" s="48">
        <f>IF(COUNT(Vertices[PageRank])&gt;0,P36,NoMetricMessage)</f>
        <v>8.536593</v>
      </c>
    </row>
    <row r="153" spans="1:2" ht="15">
      <c r="A153" s="34" t="s">
        <v>142</v>
      </c>
      <c r="B153" s="48">
        <f>_xlfn.IFERROR(AVERAGE(Vertices[PageRank]),NoMetricMessage)</f>
        <v>0.9999983468013482</v>
      </c>
    </row>
    <row r="154" spans="1:2" ht="15">
      <c r="A154" s="34" t="s">
        <v>143</v>
      </c>
      <c r="B154" s="48">
        <f>_xlfn.IFERROR(MEDIAN(Vertices[PageRank]),NoMetricMessage)</f>
        <v>0.662366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0.11339855402566913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2598</v>
      </c>
    </row>
    <row r="6" spans="1:18" ht="409.6">
      <c r="A6">
        <v>0</v>
      </c>
      <c r="B6" s="1" t="s">
        <v>136</v>
      </c>
      <c r="C6">
        <v>1</v>
      </c>
      <c r="D6" t="s">
        <v>59</v>
      </c>
      <c r="E6" t="s">
        <v>59</v>
      </c>
      <c r="F6">
        <v>0</v>
      </c>
      <c r="H6" t="s">
        <v>71</v>
      </c>
      <c r="J6" t="s">
        <v>173</v>
      </c>
      <c r="K6" s="13" t="s">
        <v>2599</v>
      </c>
      <c r="R6" t="s">
        <v>129</v>
      </c>
    </row>
    <row r="7" spans="1:11" ht="409.6">
      <c r="A7">
        <v>2</v>
      </c>
      <c r="B7">
        <v>1</v>
      </c>
      <c r="C7">
        <v>0</v>
      </c>
      <c r="D7" t="s">
        <v>60</v>
      </c>
      <c r="E7" t="s">
        <v>60</v>
      </c>
      <c r="F7">
        <v>2</v>
      </c>
      <c r="H7" t="s">
        <v>72</v>
      </c>
      <c r="J7" t="s">
        <v>174</v>
      </c>
      <c r="K7" s="13" t="s">
        <v>2600</v>
      </c>
    </row>
    <row r="8" spans="1:11" ht="409.6">
      <c r="A8"/>
      <c r="B8">
        <v>2</v>
      </c>
      <c r="C8">
        <v>2</v>
      </c>
      <c r="D8" t="s">
        <v>61</v>
      </c>
      <c r="E8" t="s">
        <v>61</v>
      </c>
      <c r="H8" t="s">
        <v>73</v>
      </c>
      <c r="J8" t="s">
        <v>175</v>
      </c>
      <c r="K8" s="13" t="s">
        <v>2601</v>
      </c>
    </row>
    <row r="9" spans="1:11" ht="409.6">
      <c r="A9"/>
      <c r="B9">
        <v>3</v>
      </c>
      <c r="C9">
        <v>4</v>
      </c>
      <c r="D9" t="s">
        <v>62</v>
      </c>
      <c r="E9" t="s">
        <v>62</v>
      </c>
      <c r="H9" t="s">
        <v>74</v>
      </c>
      <c r="J9" t="s">
        <v>176</v>
      </c>
      <c r="K9" s="13" t="s">
        <v>2602</v>
      </c>
    </row>
    <row r="10" spans="1:11" ht="409.6">
      <c r="A10"/>
      <c r="B10">
        <v>4</v>
      </c>
      <c r="D10" t="s">
        <v>63</v>
      </c>
      <c r="E10" t="s">
        <v>63</v>
      </c>
      <c r="H10" t="s">
        <v>75</v>
      </c>
      <c r="J10" t="s">
        <v>177</v>
      </c>
      <c r="K10" s="13" t="s">
        <v>2603</v>
      </c>
    </row>
    <row r="11" spans="1:11" ht="409.6">
      <c r="A11"/>
      <c r="B11">
        <v>5</v>
      </c>
      <c r="D11" t="s">
        <v>46</v>
      </c>
      <c r="E11">
        <v>1</v>
      </c>
      <c r="H11" t="s">
        <v>76</v>
      </c>
      <c r="J11" t="s">
        <v>178</v>
      </c>
      <c r="K11" s="13" t="s">
        <v>2604</v>
      </c>
    </row>
    <row r="12" spans="1:11" ht="409.6">
      <c r="A12"/>
      <c r="B12"/>
      <c r="D12" t="s">
        <v>64</v>
      </c>
      <c r="E12">
        <v>2</v>
      </c>
      <c r="H12">
        <v>0</v>
      </c>
      <c r="J12" t="s">
        <v>179</v>
      </c>
      <c r="K12" s="13" t="s">
        <v>2605</v>
      </c>
    </row>
    <row r="13" spans="1:11" ht="409.6">
      <c r="A13"/>
      <c r="B13"/>
      <c r="D13">
        <v>1</v>
      </c>
      <c r="E13">
        <v>3</v>
      </c>
      <c r="H13">
        <v>1</v>
      </c>
      <c r="J13" t="s">
        <v>180</v>
      </c>
      <c r="K13" s="13" t="s">
        <v>5855</v>
      </c>
    </row>
    <row r="14" spans="4:11" ht="15">
      <c r="D14">
        <v>2</v>
      </c>
      <c r="E14">
        <v>4</v>
      </c>
      <c r="H14">
        <v>2</v>
      </c>
      <c r="J14" t="s">
        <v>181</v>
      </c>
      <c r="K14">
        <v>9</v>
      </c>
    </row>
    <row r="15" spans="4:11" ht="15">
      <c r="D15">
        <v>3</v>
      </c>
      <c r="E15">
        <v>5</v>
      </c>
      <c r="H15">
        <v>3</v>
      </c>
      <c r="J15" t="s">
        <v>183</v>
      </c>
      <c r="K15" t="s">
        <v>5847</v>
      </c>
    </row>
    <row r="16" spans="4:11" ht="409.6">
      <c r="D16">
        <v>4</v>
      </c>
      <c r="E16">
        <v>6</v>
      </c>
      <c r="H16">
        <v>4</v>
      </c>
      <c r="J16" t="s">
        <v>184</v>
      </c>
      <c r="K16" s="13" t="s">
        <v>5848</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D519-A19F-48FF-8AB1-E079896C7DB2}">
  <dimension ref="A1:G102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2651</v>
      </c>
      <c r="B1" s="13" t="s">
        <v>3105</v>
      </c>
      <c r="C1" s="13" t="s">
        <v>3109</v>
      </c>
      <c r="D1" s="13" t="s">
        <v>144</v>
      </c>
      <c r="E1" s="13" t="s">
        <v>3111</v>
      </c>
      <c r="F1" s="13" t="s">
        <v>3112</v>
      </c>
      <c r="G1" s="13" t="s">
        <v>3113</v>
      </c>
    </row>
    <row r="2" spans="1:7" ht="15">
      <c r="A2" s="89" t="s">
        <v>2652</v>
      </c>
      <c r="B2" s="89" t="s">
        <v>3106</v>
      </c>
      <c r="C2" s="117"/>
      <c r="D2" s="89"/>
      <c r="E2" s="89"/>
      <c r="F2" s="89"/>
      <c r="G2" s="89"/>
    </row>
    <row r="3" spans="1:7" ht="15">
      <c r="A3" s="90" t="s">
        <v>2653</v>
      </c>
      <c r="B3" s="89" t="s">
        <v>3107</v>
      </c>
      <c r="C3" s="117"/>
      <c r="D3" s="89"/>
      <c r="E3" s="89"/>
      <c r="F3" s="89"/>
      <c r="G3" s="89"/>
    </row>
    <row r="4" spans="1:7" ht="15">
      <c r="A4" s="90" t="s">
        <v>2654</v>
      </c>
      <c r="B4" s="89" t="s">
        <v>3108</v>
      </c>
      <c r="C4" s="117"/>
      <c r="D4" s="89"/>
      <c r="E4" s="89"/>
      <c r="F4" s="89"/>
      <c r="G4" s="89"/>
    </row>
    <row r="5" spans="1:7" ht="15">
      <c r="A5" s="90" t="s">
        <v>2655</v>
      </c>
      <c r="B5" s="89">
        <v>11</v>
      </c>
      <c r="C5" s="117">
        <v>0.0019600855310049894</v>
      </c>
      <c r="D5" s="89"/>
      <c r="E5" s="89"/>
      <c r="F5" s="89"/>
      <c r="G5" s="89"/>
    </row>
    <row r="6" spans="1:7" ht="15">
      <c r="A6" s="90" t="s">
        <v>2656</v>
      </c>
      <c r="B6" s="89">
        <v>6</v>
      </c>
      <c r="C6" s="117">
        <v>0.0010691375623663579</v>
      </c>
      <c r="D6" s="89"/>
      <c r="E6" s="89"/>
      <c r="F6" s="89"/>
      <c r="G6" s="89"/>
    </row>
    <row r="7" spans="1:7" ht="15">
      <c r="A7" s="90" t="s">
        <v>2657</v>
      </c>
      <c r="B7" s="89">
        <v>0</v>
      </c>
      <c r="C7" s="117">
        <v>0</v>
      </c>
      <c r="D7" s="89"/>
      <c r="E7" s="89"/>
      <c r="F7" s="89"/>
      <c r="G7" s="89"/>
    </row>
    <row r="8" spans="1:7" ht="15">
      <c r="A8" s="90" t="s">
        <v>2658</v>
      </c>
      <c r="B8" s="89">
        <v>5595</v>
      </c>
      <c r="C8" s="117">
        <v>0.9969707769066286</v>
      </c>
      <c r="D8" s="89"/>
      <c r="E8" s="89"/>
      <c r="F8" s="89"/>
      <c r="G8" s="89"/>
    </row>
    <row r="9" spans="1:7" ht="15">
      <c r="A9" s="90" t="s">
        <v>2659</v>
      </c>
      <c r="B9" s="89">
        <v>5612</v>
      </c>
      <c r="C9" s="117">
        <v>1</v>
      </c>
      <c r="D9" s="89"/>
      <c r="E9" s="89"/>
      <c r="F9" s="89"/>
      <c r="G9" s="89"/>
    </row>
    <row r="10" spans="1:7" ht="15">
      <c r="A10" s="97" t="s">
        <v>712</v>
      </c>
      <c r="B10" s="102">
        <v>219</v>
      </c>
      <c r="C10" s="118">
        <v>0.003865369609571394</v>
      </c>
      <c r="D10" s="102" t="s">
        <v>3110</v>
      </c>
      <c r="E10" s="102" t="b">
        <v>0</v>
      </c>
      <c r="F10" s="102" t="b">
        <v>0</v>
      </c>
      <c r="G10" s="102" t="b">
        <v>0</v>
      </c>
    </row>
    <row r="11" spans="1:7" ht="15">
      <c r="A11" s="97" t="s">
        <v>2660</v>
      </c>
      <c r="B11" s="102">
        <v>42</v>
      </c>
      <c r="C11" s="118">
        <v>0.008616491567654372</v>
      </c>
      <c r="D11" s="102" t="s">
        <v>3110</v>
      </c>
      <c r="E11" s="102" t="b">
        <v>0</v>
      </c>
      <c r="F11" s="102" t="b">
        <v>0</v>
      </c>
      <c r="G11" s="102" t="b">
        <v>0</v>
      </c>
    </row>
    <row r="12" spans="1:7" ht="15">
      <c r="A12" s="97" t="s">
        <v>2661</v>
      </c>
      <c r="B12" s="102">
        <v>33</v>
      </c>
      <c r="C12" s="118">
        <v>0.007797592555031389</v>
      </c>
      <c r="D12" s="102" t="s">
        <v>3110</v>
      </c>
      <c r="E12" s="102" t="b">
        <v>0</v>
      </c>
      <c r="F12" s="102" t="b">
        <v>0</v>
      </c>
      <c r="G12" s="102" t="b">
        <v>0</v>
      </c>
    </row>
    <row r="13" spans="1:7" ht="15">
      <c r="A13" s="97" t="s">
        <v>2662</v>
      </c>
      <c r="B13" s="102">
        <v>33</v>
      </c>
      <c r="C13" s="118">
        <v>0.007681322918486862</v>
      </c>
      <c r="D13" s="102" t="s">
        <v>3110</v>
      </c>
      <c r="E13" s="102" t="b">
        <v>0</v>
      </c>
      <c r="F13" s="102" t="b">
        <v>0</v>
      </c>
      <c r="G13" s="102" t="b">
        <v>0</v>
      </c>
    </row>
    <row r="14" spans="1:7" ht="15">
      <c r="A14" s="97" t="s">
        <v>2663</v>
      </c>
      <c r="B14" s="102">
        <v>32</v>
      </c>
      <c r="C14" s="118">
        <v>0.00756130187154559</v>
      </c>
      <c r="D14" s="102" t="s">
        <v>3110</v>
      </c>
      <c r="E14" s="102" t="b">
        <v>0</v>
      </c>
      <c r="F14" s="102" t="b">
        <v>0</v>
      </c>
      <c r="G14" s="102" t="b">
        <v>0</v>
      </c>
    </row>
    <row r="15" spans="1:7" ht="15">
      <c r="A15" s="97" t="s">
        <v>2664</v>
      </c>
      <c r="B15" s="102">
        <v>29</v>
      </c>
      <c r="C15" s="118">
        <v>0.00717929705868575</v>
      </c>
      <c r="D15" s="102" t="s">
        <v>3110</v>
      </c>
      <c r="E15" s="102" t="b">
        <v>0</v>
      </c>
      <c r="F15" s="102" t="b">
        <v>0</v>
      </c>
      <c r="G15" s="102" t="b">
        <v>0</v>
      </c>
    </row>
    <row r="16" spans="1:7" ht="15">
      <c r="A16" s="97" t="s">
        <v>2665</v>
      </c>
      <c r="B16" s="102">
        <v>28</v>
      </c>
      <c r="C16" s="118">
        <v>0.007044236821592696</v>
      </c>
      <c r="D16" s="102" t="s">
        <v>3110</v>
      </c>
      <c r="E16" s="102" t="b">
        <v>0</v>
      </c>
      <c r="F16" s="102" t="b">
        <v>0</v>
      </c>
      <c r="G16" s="102" t="b">
        <v>0</v>
      </c>
    </row>
    <row r="17" spans="1:7" ht="15">
      <c r="A17" s="97" t="s">
        <v>459</v>
      </c>
      <c r="B17" s="102">
        <v>26</v>
      </c>
      <c r="C17" s="118">
        <v>0.006761694440569174</v>
      </c>
      <c r="D17" s="102" t="s">
        <v>3110</v>
      </c>
      <c r="E17" s="102" t="b">
        <v>0</v>
      </c>
      <c r="F17" s="102" t="b">
        <v>0</v>
      </c>
      <c r="G17" s="102" t="b">
        <v>0</v>
      </c>
    </row>
    <row r="18" spans="1:7" ht="15">
      <c r="A18" s="97" t="s">
        <v>458</v>
      </c>
      <c r="B18" s="102">
        <v>26</v>
      </c>
      <c r="C18" s="118">
        <v>0.006761694440569174</v>
      </c>
      <c r="D18" s="102" t="s">
        <v>3110</v>
      </c>
      <c r="E18" s="102" t="b">
        <v>0</v>
      </c>
      <c r="F18" s="102" t="b">
        <v>0</v>
      </c>
      <c r="G18" s="102" t="b">
        <v>0</v>
      </c>
    </row>
    <row r="19" spans="1:7" ht="15">
      <c r="A19" s="97" t="s">
        <v>2666</v>
      </c>
      <c r="B19" s="102">
        <v>24</v>
      </c>
      <c r="C19" s="118">
        <v>0.006461519424645007</v>
      </c>
      <c r="D19" s="102" t="s">
        <v>3110</v>
      </c>
      <c r="E19" s="102" t="b">
        <v>0</v>
      </c>
      <c r="F19" s="102" t="b">
        <v>0</v>
      </c>
      <c r="G19" s="102" t="b">
        <v>0</v>
      </c>
    </row>
    <row r="20" spans="1:7" ht="15">
      <c r="A20" s="97" t="s">
        <v>2667</v>
      </c>
      <c r="B20" s="102">
        <v>24</v>
      </c>
      <c r="C20" s="118">
        <v>0.006461519424645007</v>
      </c>
      <c r="D20" s="102" t="s">
        <v>3110</v>
      </c>
      <c r="E20" s="102" t="b">
        <v>0</v>
      </c>
      <c r="F20" s="102" t="b">
        <v>0</v>
      </c>
      <c r="G20" s="102" t="b">
        <v>0</v>
      </c>
    </row>
    <row r="21" spans="1:7" ht="15">
      <c r="A21" s="97" t="s">
        <v>2668</v>
      </c>
      <c r="B21" s="102">
        <v>24</v>
      </c>
      <c r="C21" s="118">
        <v>0.006461519424645007</v>
      </c>
      <c r="D21" s="102" t="s">
        <v>3110</v>
      </c>
      <c r="E21" s="102" t="b">
        <v>0</v>
      </c>
      <c r="F21" s="102" t="b">
        <v>0</v>
      </c>
      <c r="G21" s="102" t="b">
        <v>0</v>
      </c>
    </row>
    <row r="22" spans="1:7" ht="15">
      <c r="A22" s="97" t="s">
        <v>2669</v>
      </c>
      <c r="B22" s="102">
        <v>23</v>
      </c>
      <c r="C22" s="118">
        <v>0.006304369156227493</v>
      </c>
      <c r="D22" s="102" t="s">
        <v>3110</v>
      </c>
      <c r="E22" s="102" t="b">
        <v>0</v>
      </c>
      <c r="F22" s="102" t="b">
        <v>0</v>
      </c>
      <c r="G22" s="102" t="b">
        <v>0</v>
      </c>
    </row>
    <row r="23" spans="1:7" ht="15">
      <c r="A23" s="97" t="s">
        <v>2670</v>
      </c>
      <c r="B23" s="102">
        <v>23</v>
      </c>
      <c r="C23" s="118">
        <v>0.006304369156227493</v>
      </c>
      <c r="D23" s="102" t="s">
        <v>3110</v>
      </c>
      <c r="E23" s="102" t="b">
        <v>0</v>
      </c>
      <c r="F23" s="102" t="b">
        <v>0</v>
      </c>
      <c r="G23" s="102" t="b">
        <v>0</v>
      </c>
    </row>
    <row r="24" spans="1:7" ht="15">
      <c r="A24" s="97" t="s">
        <v>2671</v>
      </c>
      <c r="B24" s="102">
        <v>22</v>
      </c>
      <c r="C24" s="118">
        <v>0.006142239103376069</v>
      </c>
      <c r="D24" s="102" t="s">
        <v>3110</v>
      </c>
      <c r="E24" s="102" t="b">
        <v>0</v>
      </c>
      <c r="F24" s="102" t="b">
        <v>0</v>
      </c>
      <c r="G24" s="102" t="b">
        <v>0</v>
      </c>
    </row>
    <row r="25" spans="1:7" ht="15">
      <c r="A25" s="97" t="s">
        <v>2672</v>
      </c>
      <c r="B25" s="102">
        <v>22</v>
      </c>
      <c r="C25" s="118">
        <v>0.006142239103376069</v>
      </c>
      <c r="D25" s="102" t="s">
        <v>3110</v>
      </c>
      <c r="E25" s="102" t="b">
        <v>0</v>
      </c>
      <c r="F25" s="102" t="b">
        <v>0</v>
      </c>
      <c r="G25" s="102" t="b">
        <v>0</v>
      </c>
    </row>
    <row r="26" spans="1:7" ht="15">
      <c r="A26" s="97" t="s">
        <v>2673</v>
      </c>
      <c r="B26" s="102">
        <v>21</v>
      </c>
      <c r="C26" s="118">
        <v>0.0059749027595571115</v>
      </c>
      <c r="D26" s="102" t="s">
        <v>3110</v>
      </c>
      <c r="E26" s="102" t="b">
        <v>0</v>
      </c>
      <c r="F26" s="102" t="b">
        <v>0</v>
      </c>
      <c r="G26" s="102" t="b">
        <v>0</v>
      </c>
    </row>
    <row r="27" spans="1:7" ht="15">
      <c r="A27" s="97" t="s">
        <v>431</v>
      </c>
      <c r="B27" s="102">
        <v>21</v>
      </c>
      <c r="C27" s="118">
        <v>0.0059749027595571115</v>
      </c>
      <c r="D27" s="102" t="s">
        <v>3110</v>
      </c>
      <c r="E27" s="102" t="b">
        <v>0</v>
      </c>
      <c r="F27" s="102" t="b">
        <v>0</v>
      </c>
      <c r="G27" s="102" t="b">
        <v>0</v>
      </c>
    </row>
    <row r="28" spans="1:7" ht="15">
      <c r="A28" s="97" t="s">
        <v>430</v>
      </c>
      <c r="B28" s="102">
        <v>21</v>
      </c>
      <c r="C28" s="118">
        <v>0.0059749027595571115</v>
      </c>
      <c r="D28" s="102" t="s">
        <v>3110</v>
      </c>
      <c r="E28" s="102" t="b">
        <v>0</v>
      </c>
      <c r="F28" s="102" t="b">
        <v>0</v>
      </c>
      <c r="G28" s="102" t="b">
        <v>0</v>
      </c>
    </row>
    <row r="29" spans="1:7" ht="15">
      <c r="A29" s="97" t="s">
        <v>2674</v>
      </c>
      <c r="B29" s="102">
        <v>21</v>
      </c>
      <c r="C29" s="118">
        <v>0.006092217623904251</v>
      </c>
      <c r="D29" s="102" t="s">
        <v>3110</v>
      </c>
      <c r="E29" s="102" t="b">
        <v>0</v>
      </c>
      <c r="F29" s="102" t="b">
        <v>0</v>
      </c>
      <c r="G29" s="102" t="b">
        <v>0</v>
      </c>
    </row>
    <row r="30" spans="1:7" ht="15">
      <c r="A30" s="97" t="s">
        <v>2675</v>
      </c>
      <c r="B30" s="102">
        <v>20</v>
      </c>
      <c r="C30" s="118">
        <v>0.005802112022765953</v>
      </c>
      <c r="D30" s="102" t="s">
        <v>3110</v>
      </c>
      <c r="E30" s="102" t="b">
        <v>0</v>
      </c>
      <c r="F30" s="102" t="b">
        <v>0</v>
      </c>
      <c r="G30" s="102" t="b">
        <v>0</v>
      </c>
    </row>
    <row r="31" spans="1:7" ht="15">
      <c r="A31" s="97" t="s">
        <v>2676</v>
      </c>
      <c r="B31" s="102">
        <v>19</v>
      </c>
      <c r="C31" s="118">
        <v>0.0056235939511588675</v>
      </c>
      <c r="D31" s="102" t="s">
        <v>3110</v>
      </c>
      <c r="E31" s="102" t="b">
        <v>0</v>
      </c>
      <c r="F31" s="102" t="b">
        <v>0</v>
      </c>
      <c r="G31" s="102" t="b">
        <v>0</v>
      </c>
    </row>
    <row r="32" spans="1:7" ht="15">
      <c r="A32" s="97" t="s">
        <v>2677</v>
      </c>
      <c r="B32" s="102">
        <v>18</v>
      </c>
      <c r="C32" s="118">
        <v>0.005439046834223117</v>
      </c>
      <c r="D32" s="102" t="s">
        <v>3110</v>
      </c>
      <c r="E32" s="102" t="b">
        <v>0</v>
      </c>
      <c r="F32" s="102" t="b">
        <v>0</v>
      </c>
      <c r="G32" s="102" t="b">
        <v>0</v>
      </c>
    </row>
    <row r="33" spans="1:7" ht="15">
      <c r="A33" s="97" t="s">
        <v>2678</v>
      </c>
      <c r="B33" s="102">
        <v>18</v>
      </c>
      <c r="C33" s="118">
        <v>0.005439046834223117</v>
      </c>
      <c r="D33" s="102" t="s">
        <v>3110</v>
      </c>
      <c r="E33" s="102" t="b">
        <v>0</v>
      </c>
      <c r="F33" s="102" t="b">
        <v>0</v>
      </c>
      <c r="G33" s="102" t="b">
        <v>0</v>
      </c>
    </row>
    <row r="34" spans="1:7" ht="15">
      <c r="A34" s="97" t="s">
        <v>2679</v>
      </c>
      <c r="B34" s="102">
        <v>18</v>
      </c>
      <c r="C34" s="118">
        <v>0.005439046834223117</v>
      </c>
      <c r="D34" s="102" t="s">
        <v>3110</v>
      </c>
      <c r="E34" s="102" t="b">
        <v>0</v>
      </c>
      <c r="F34" s="102" t="b">
        <v>0</v>
      </c>
      <c r="G34" s="102" t="b">
        <v>0</v>
      </c>
    </row>
    <row r="35" spans="1:7" ht="15">
      <c r="A35" s="97" t="s">
        <v>2680</v>
      </c>
      <c r="B35" s="102">
        <v>17</v>
      </c>
      <c r="C35" s="118">
        <v>0.00524813538883617</v>
      </c>
      <c r="D35" s="102" t="s">
        <v>3110</v>
      </c>
      <c r="E35" s="102" t="b">
        <v>0</v>
      </c>
      <c r="F35" s="102" t="b">
        <v>0</v>
      </c>
      <c r="G35" s="102" t="b">
        <v>0</v>
      </c>
    </row>
    <row r="36" spans="1:7" ht="15">
      <c r="A36" s="97" t="s">
        <v>338</v>
      </c>
      <c r="B36" s="102">
        <v>17</v>
      </c>
      <c r="C36" s="118">
        <v>0.00524813538883617</v>
      </c>
      <c r="D36" s="102" t="s">
        <v>3110</v>
      </c>
      <c r="E36" s="102" t="b">
        <v>0</v>
      </c>
      <c r="F36" s="102" t="b">
        <v>0</v>
      </c>
      <c r="G36" s="102" t="b">
        <v>0</v>
      </c>
    </row>
    <row r="37" spans="1:7" ht="15">
      <c r="A37" s="97" t="s">
        <v>2681</v>
      </c>
      <c r="B37" s="102">
        <v>16</v>
      </c>
      <c r="C37" s="118">
        <v>0.005050484822043214</v>
      </c>
      <c r="D37" s="102" t="s">
        <v>3110</v>
      </c>
      <c r="E37" s="102" t="b">
        <v>0</v>
      </c>
      <c r="F37" s="102" t="b">
        <v>0</v>
      </c>
      <c r="G37" s="102" t="b">
        <v>0</v>
      </c>
    </row>
    <row r="38" spans="1:7" ht="15">
      <c r="A38" s="97" t="s">
        <v>2682</v>
      </c>
      <c r="B38" s="102">
        <v>15</v>
      </c>
      <c r="C38" s="118">
        <v>0.004845673405190599</v>
      </c>
      <c r="D38" s="102" t="s">
        <v>3110</v>
      </c>
      <c r="E38" s="102" t="b">
        <v>0</v>
      </c>
      <c r="F38" s="102" t="b">
        <v>0</v>
      </c>
      <c r="G38" s="102" t="b">
        <v>0</v>
      </c>
    </row>
    <row r="39" spans="1:7" ht="15">
      <c r="A39" s="97" t="s">
        <v>2683</v>
      </c>
      <c r="B39" s="102">
        <v>14</v>
      </c>
      <c r="C39" s="118">
        <v>0.0046332230612829645</v>
      </c>
      <c r="D39" s="102" t="s">
        <v>3110</v>
      </c>
      <c r="E39" s="102" t="b">
        <v>0</v>
      </c>
      <c r="F39" s="102" t="b">
        <v>0</v>
      </c>
      <c r="G39" s="102" t="b">
        <v>0</v>
      </c>
    </row>
    <row r="40" spans="1:7" ht="15">
      <c r="A40" s="97" t="s">
        <v>432</v>
      </c>
      <c r="B40" s="102">
        <v>14</v>
      </c>
      <c r="C40" s="118">
        <v>0.0046332230612829645</v>
      </c>
      <c r="D40" s="102" t="s">
        <v>3110</v>
      </c>
      <c r="E40" s="102" t="b">
        <v>0</v>
      </c>
      <c r="F40" s="102" t="b">
        <v>0</v>
      </c>
      <c r="G40" s="102" t="b">
        <v>0</v>
      </c>
    </row>
    <row r="41" spans="1:7" ht="15">
      <c r="A41" s="97" t="s">
        <v>2684</v>
      </c>
      <c r="B41" s="102">
        <v>14</v>
      </c>
      <c r="C41" s="118">
        <v>0.0046332230612829645</v>
      </c>
      <c r="D41" s="102" t="s">
        <v>3110</v>
      </c>
      <c r="E41" s="102" t="b">
        <v>0</v>
      </c>
      <c r="F41" s="102" t="b">
        <v>0</v>
      </c>
      <c r="G41" s="102" t="b">
        <v>0</v>
      </c>
    </row>
    <row r="42" spans="1:7" ht="15">
      <c r="A42" s="97" t="s">
        <v>2685</v>
      </c>
      <c r="B42" s="102">
        <v>14</v>
      </c>
      <c r="C42" s="118">
        <v>0.0046332230612829645</v>
      </c>
      <c r="D42" s="102" t="s">
        <v>3110</v>
      </c>
      <c r="E42" s="102" t="b">
        <v>0</v>
      </c>
      <c r="F42" s="102" t="b">
        <v>0</v>
      </c>
      <c r="G42" s="102" t="b">
        <v>0</v>
      </c>
    </row>
    <row r="43" spans="1:7" ht="15">
      <c r="A43" s="97" t="s">
        <v>2686</v>
      </c>
      <c r="B43" s="102">
        <v>13</v>
      </c>
      <c r="C43" s="118">
        <v>0.0044125872528793025</v>
      </c>
      <c r="D43" s="102" t="s">
        <v>3110</v>
      </c>
      <c r="E43" s="102" t="b">
        <v>0</v>
      </c>
      <c r="F43" s="102" t="b">
        <v>0</v>
      </c>
      <c r="G43" s="102" t="b">
        <v>0</v>
      </c>
    </row>
    <row r="44" spans="1:7" ht="15">
      <c r="A44" s="97" t="s">
        <v>2687</v>
      </c>
      <c r="B44" s="102">
        <v>13</v>
      </c>
      <c r="C44" s="118">
        <v>0.0044125872528793025</v>
      </c>
      <c r="D44" s="102" t="s">
        <v>3110</v>
      </c>
      <c r="E44" s="102" t="b">
        <v>0</v>
      </c>
      <c r="F44" s="102" t="b">
        <v>0</v>
      </c>
      <c r="G44" s="102" t="b">
        <v>0</v>
      </c>
    </row>
    <row r="45" spans="1:7" ht="15">
      <c r="A45" s="97" t="s">
        <v>2688</v>
      </c>
      <c r="B45" s="102">
        <v>13</v>
      </c>
      <c r="C45" s="118">
        <v>0.0044125872528793025</v>
      </c>
      <c r="D45" s="102" t="s">
        <v>3110</v>
      </c>
      <c r="E45" s="102" t="b">
        <v>0</v>
      </c>
      <c r="F45" s="102" t="b">
        <v>0</v>
      </c>
      <c r="G45" s="102" t="b">
        <v>0</v>
      </c>
    </row>
    <row r="46" spans="1:7" ht="15">
      <c r="A46" s="97" t="s">
        <v>2689</v>
      </c>
      <c r="B46" s="102">
        <v>13</v>
      </c>
      <c r="C46" s="118">
        <v>0.0044125872528793025</v>
      </c>
      <c r="D46" s="102" t="s">
        <v>3110</v>
      </c>
      <c r="E46" s="102" t="b">
        <v>0</v>
      </c>
      <c r="F46" s="102" t="b">
        <v>0</v>
      </c>
      <c r="G46" s="102" t="b">
        <v>0</v>
      </c>
    </row>
    <row r="47" spans="1:7" ht="15">
      <c r="A47" s="97" t="s">
        <v>2690</v>
      </c>
      <c r="B47" s="102">
        <v>13</v>
      </c>
      <c r="C47" s="118">
        <v>0.0044125872528793025</v>
      </c>
      <c r="D47" s="102" t="s">
        <v>3110</v>
      </c>
      <c r="E47" s="102" t="b">
        <v>0</v>
      </c>
      <c r="F47" s="102" t="b">
        <v>0</v>
      </c>
      <c r="G47" s="102" t="b">
        <v>0</v>
      </c>
    </row>
    <row r="48" spans="1:7" ht="15">
      <c r="A48" s="97" t="s">
        <v>2691</v>
      </c>
      <c r="B48" s="102">
        <v>13</v>
      </c>
      <c r="C48" s="118">
        <v>0.0044125872528793025</v>
      </c>
      <c r="D48" s="102" t="s">
        <v>3110</v>
      </c>
      <c r="E48" s="102" t="b">
        <v>0</v>
      </c>
      <c r="F48" s="102" t="b">
        <v>0</v>
      </c>
      <c r="G48" s="102" t="b">
        <v>0</v>
      </c>
    </row>
    <row r="49" spans="1:7" ht="15">
      <c r="A49" s="97" t="s">
        <v>2692</v>
      </c>
      <c r="B49" s="102">
        <v>13</v>
      </c>
      <c r="C49" s="118">
        <v>0.0044125872528793025</v>
      </c>
      <c r="D49" s="102" t="s">
        <v>3110</v>
      </c>
      <c r="E49" s="102" t="b">
        <v>0</v>
      </c>
      <c r="F49" s="102" t="b">
        <v>0</v>
      </c>
      <c r="G49" s="102" t="b">
        <v>0</v>
      </c>
    </row>
    <row r="50" spans="1:7" ht="15">
      <c r="A50" s="97" t="s">
        <v>2693</v>
      </c>
      <c r="B50" s="102">
        <v>13</v>
      </c>
      <c r="C50" s="118">
        <v>0.0044125872528793025</v>
      </c>
      <c r="D50" s="102" t="s">
        <v>3110</v>
      </c>
      <c r="E50" s="102" t="b">
        <v>0</v>
      </c>
      <c r="F50" s="102" t="b">
        <v>0</v>
      </c>
      <c r="G50" s="102" t="b">
        <v>0</v>
      </c>
    </row>
    <row r="51" spans="1:7" ht="15">
      <c r="A51" s="97" t="s">
        <v>2694</v>
      </c>
      <c r="B51" s="102">
        <v>13</v>
      </c>
      <c r="C51" s="118">
        <v>0.0044125872528793025</v>
      </c>
      <c r="D51" s="102" t="s">
        <v>3110</v>
      </c>
      <c r="E51" s="102" t="b">
        <v>0</v>
      </c>
      <c r="F51" s="102" t="b">
        <v>0</v>
      </c>
      <c r="G51" s="102" t="b">
        <v>0</v>
      </c>
    </row>
    <row r="52" spans="1:7" ht="15">
      <c r="A52" s="97" t="s">
        <v>2695</v>
      </c>
      <c r="B52" s="102">
        <v>13</v>
      </c>
      <c r="C52" s="118">
        <v>0.0044125872528793025</v>
      </c>
      <c r="D52" s="102" t="s">
        <v>3110</v>
      </c>
      <c r="E52" s="102" t="b">
        <v>0</v>
      </c>
      <c r="F52" s="102" t="b">
        <v>0</v>
      </c>
      <c r="G52" s="102" t="b">
        <v>0</v>
      </c>
    </row>
    <row r="53" spans="1:7" ht="15">
      <c r="A53" s="97" t="s">
        <v>2696</v>
      </c>
      <c r="B53" s="102">
        <v>13</v>
      </c>
      <c r="C53" s="118">
        <v>0.0044125872528793025</v>
      </c>
      <c r="D53" s="102" t="s">
        <v>3110</v>
      </c>
      <c r="E53" s="102" t="b">
        <v>0</v>
      </c>
      <c r="F53" s="102" t="b">
        <v>0</v>
      </c>
      <c r="G53" s="102" t="b">
        <v>0</v>
      </c>
    </row>
    <row r="54" spans="1:7" ht="15">
      <c r="A54" s="97" t="s">
        <v>2697</v>
      </c>
      <c r="B54" s="102">
        <v>13</v>
      </c>
      <c r="C54" s="118">
        <v>0.0044125872528793025</v>
      </c>
      <c r="D54" s="102" t="s">
        <v>3110</v>
      </c>
      <c r="E54" s="102" t="b">
        <v>0</v>
      </c>
      <c r="F54" s="102" t="b">
        <v>0</v>
      </c>
      <c r="G54" s="102" t="b">
        <v>0</v>
      </c>
    </row>
    <row r="55" spans="1:7" ht="15">
      <c r="A55" s="97" t="s">
        <v>2698</v>
      </c>
      <c r="B55" s="102">
        <v>13</v>
      </c>
      <c r="C55" s="118">
        <v>0.0044125872528793025</v>
      </c>
      <c r="D55" s="102" t="s">
        <v>3110</v>
      </c>
      <c r="E55" s="102" t="b">
        <v>0</v>
      </c>
      <c r="F55" s="102" t="b">
        <v>0</v>
      </c>
      <c r="G55" s="102" t="b">
        <v>0</v>
      </c>
    </row>
    <row r="56" spans="1:7" ht="15">
      <c r="A56" s="97" t="s">
        <v>2699</v>
      </c>
      <c r="B56" s="102">
        <v>13</v>
      </c>
      <c r="C56" s="118">
        <v>0.0044125872528793025</v>
      </c>
      <c r="D56" s="102" t="s">
        <v>3110</v>
      </c>
      <c r="E56" s="102" t="b">
        <v>0</v>
      </c>
      <c r="F56" s="102" t="b">
        <v>0</v>
      </c>
      <c r="G56" s="102" t="b">
        <v>0</v>
      </c>
    </row>
    <row r="57" spans="1:7" ht="15">
      <c r="A57" s="97" t="s">
        <v>2700</v>
      </c>
      <c r="B57" s="102">
        <v>13</v>
      </c>
      <c r="C57" s="118">
        <v>0.0044125872528793025</v>
      </c>
      <c r="D57" s="102" t="s">
        <v>3110</v>
      </c>
      <c r="E57" s="102" t="b">
        <v>0</v>
      </c>
      <c r="F57" s="102" t="b">
        <v>0</v>
      </c>
      <c r="G57" s="102" t="b">
        <v>0</v>
      </c>
    </row>
    <row r="58" spans="1:7" ht="15">
      <c r="A58" s="97" t="s">
        <v>2701</v>
      </c>
      <c r="B58" s="102">
        <v>13</v>
      </c>
      <c r="C58" s="118">
        <v>0.0044125872528793025</v>
      </c>
      <c r="D58" s="102" t="s">
        <v>3110</v>
      </c>
      <c r="E58" s="102" t="b">
        <v>0</v>
      </c>
      <c r="F58" s="102" t="b">
        <v>0</v>
      </c>
      <c r="G58" s="102" t="b">
        <v>0</v>
      </c>
    </row>
    <row r="59" spans="1:7" ht="15">
      <c r="A59" s="97" t="s">
        <v>2702</v>
      </c>
      <c r="B59" s="102">
        <v>13</v>
      </c>
      <c r="C59" s="118">
        <v>0.0044125872528793025</v>
      </c>
      <c r="D59" s="102" t="s">
        <v>3110</v>
      </c>
      <c r="E59" s="102" t="b">
        <v>0</v>
      </c>
      <c r="F59" s="102" t="b">
        <v>0</v>
      </c>
      <c r="G59" s="102" t="b">
        <v>0</v>
      </c>
    </row>
    <row r="60" spans="1:7" ht="15">
      <c r="A60" s="97" t="s">
        <v>2703</v>
      </c>
      <c r="B60" s="102">
        <v>13</v>
      </c>
      <c r="C60" s="118">
        <v>0.0044125872528793025</v>
      </c>
      <c r="D60" s="102" t="s">
        <v>3110</v>
      </c>
      <c r="E60" s="102" t="b">
        <v>0</v>
      </c>
      <c r="F60" s="102" t="b">
        <v>0</v>
      </c>
      <c r="G60" s="102" t="b">
        <v>0</v>
      </c>
    </row>
    <row r="61" spans="1:7" ht="15">
      <c r="A61" s="97" t="s">
        <v>1480</v>
      </c>
      <c r="B61" s="102">
        <v>13</v>
      </c>
      <c r="C61" s="118">
        <v>0.0044125872528793025</v>
      </c>
      <c r="D61" s="102" t="s">
        <v>3110</v>
      </c>
      <c r="E61" s="102" t="b">
        <v>0</v>
      </c>
      <c r="F61" s="102" t="b">
        <v>0</v>
      </c>
      <c r="G61" s="102" t="b">
        <v>0</v>
      </c>
    </row>
    <row r="62" spans="1:7" ht="15">
      <c r="A62" s="97" t="s">
        <v>2704</v>
      </c>
      <c r="B62" s="102">
        <v>13</v>
      </c>
      <c r="C62" s="118">
        <v>0.0044125872528793025</v>
      </c>
      <c r="D62" s="102" t="s">
        <v>3110</v>
      </c>
      <c r="E62" s="102" t="b">
        <v>0</v>
      </c>
      <c r="F62" s="102" t="b">
        <v>0</v>
      </c>
      <c r="G62" s="102" t="b">
        <v>0</v>
      </c>
    </row>
    <row r="63" spans="1:7" ht="15">
      <c r="A63" s="97" t="s">
        <v>2705</v>
      </c>
      <c r="B63" s="102">
        <v>12</v>
      </c>
      <c r="C63" s="118">
        <v>0.004302687652907943</v>
      </c>
      <c r="D63" s="102" t="s">
        <v>3110</v>
      </c>
      <c r="E63" s="102" t="b">
        <v>0</v>
      </c>
      <c r="F63" s="102" t="b">
        <v>0</v>
      </c>
      <c r="G63" s="102" t="b">
        <v>0</v>
      </c>
    </row>
    <row r="64" spans="1:7" ht="15">
      <c r="A64" s="97" t="s">
        <v>2706</v>
      </c>
      <c r="B64" s="102">
        <v>12</v>
      </c>
      <c r="C64" s="118">
        <v>0.004183135127025318</v>
      </c>
      <c r="D64" s="102" t="s">
        <v>3110</v>
      </c>
      <c r="E64" s="102" t="b">
        <v>0</v>
      </c>
      <c r="F64" s="102" t="b">
        <v>0</v>
      </c>
      <c r="G64" s="102" t="b">
        <v>0</v>
      </c>
    </row>
    <row r="65" spans="1:7" ht="15">
      <c r="A65" s="97" t="s">
        <v>2707</v>
      </c>
      <c r="B65" s="102">
        <v>11</v>
      </c>
      <c r="C65" s="118">
        <v>0.004196872751058373</v>
      </c>
      <c r="D65" s="102" t="s">
        <v>3110</v>
      </c>
      <c r="E65" s="102" t="b">
        <v>0</v>
      </c>
      <c r="F65" s="102" t="b">
        <v>0</v>
      </c>
      <c r="G65" s="102" t="b">
        <v>0</v>
      </c>
    </row>
    <row r="66" spans="1:7" ht="15">
      <c r="A66" s="97" t="s">
        <v>2708</v>
      </c>
      <c r="B66" s="102">
        <v>11</v>
      </c>
      <c r="C66" s="118">
        <v>0.004196872751058373</v>
      </c>
      <c r="D66" s="102" t="s">
        <v>3110</v>
      </c>
      <c r="E66" s="102" t="b">
        <v>0</v>
      </c>
      <c r="F66" s="102" t="b">
        <v>0</v>
      </c>
      <c r="G66" s="102" t="b">
        <v>0</v>
      </c>
    </row>
    <row r="67" spans="1:7" ht="15">
      <c r="A67" s="97" t="s">
        <v>2709</v>
      </c>
      <c r="B67" s="102">
        <v>10</v>
      </c>
      <c r="C67" s="118">
        <v>0.00395019919269602</v>
      </c>
      <c r="D67" s="102" t="s">
        <v>3110</v>
      </c>
      <c r="E67" s="102" t="b">
        <v>0</v>
      </c>
      <c r="F67" s="102" t="b">
        <v>0</v>
      </c>
      <c r="G67" s="102" t="b">
        <v>0</v>
      </c>
    </row>
    <row r="68" spans="1:7" ht="15">
      <c r="A68" s="97" t="s">
        <v>2710</v>
      </c>
      <c r="B68" s="102">
        <v>9</v>
      </c>
      <c r="C68" s="118">
        <v>0.0034338049781386694</v>
      </c>
      <c r="D68" s="102" t="s">
        <v>3110</v>
      </c>
      <c r="E68" s="102" t="b">
        <v>0</v>
      </c>
      <c r="F68" s="102" t="b">
        <v>0</v>
      </c>
      <c r="G68" s="102" t="b">
        <v>0</v>
      </c>
    </row>
    <row r="69" spans="1:7" ht="15">
      <c r="A69" s="97" t="s">
        <v>2711</v>
      </c>
      <c r="B69" s="102">
        <v>9</v>
      </c>
      <c r="C69" s="118">
        <v>0.0034338049781386694</v>
      </c>
      <c r="D69" s="102" t="s">
        <v>3110</v>
      </c>
      <c r="E69" s="102" t="b">
        <v>0</v>
      </c>
      <c r="F69" s="102" t="b">
        <v>0</v>
      </c>
      <c r="G69" s="102" t="b">
        <v>0</v>
      </c>
    </row>
    <row r="70" spans="1:7" ht="15">
      <c r="A70" s="97" t="s">
        <v>2712</v>
      </c>
      <c r="B70" s="102">
        <v>9</v>
      </c>
      <c r="C70" s="118">
        <v>0.0034338049781386694</v>
      </c>
      <c r="D70" s="102" t="s">
        <v>3110</v>
      </c>
      <c r="E70" s="102" t="b">
        <v>0</v>
      </c>
      <c r="F70" s="102" t="b">
        <v>0</v>
      </c>
      <c r="G70" s="102" t="b">
        <v>0</v>
      </c>
    </row>
    <row r="71" spans="1:7" ht="15">
      <c r="A71" s="97" t="s">
        <v>2713</v>
      </c>
      <c r="B71" s="102">
        <v>8</v>
      </c>
      <c r="C71" s="118">
        <v>0.0031601593541568163</v>
      </c>
      <c r="D71" s="102" t="s">
        <v>3110</v>
      </c>
      <c r="E71" s="102" t="b">
        <v>0</v>
      </c>
      <c r="F71" s="102" t="b">
        <v>0</v>
      </c>
      <c r="G71" s="102" t="b">
        <v>0</v>
      </c>
    </row>
    <row r="72" spans="1:7" ht="15">
      <c r="A72" s="97" t="s">
        <v>2714</v>
      </c>
      <c r="B72" s="102">
        <v>8</v>
      </c>
      <c r="C72" s="118">
        <v>0.0035906786953768003</v>
      </c>
      <c r="D72" s="102" t="s">
        <v>3110</v>
      </c>
      <c r="E72" s="102" t="b">
        <v>0</v>
      </c>
      <c r="F72" s="102" t="b">
        <v>0</v>
      </c>
      <c r="G72" s="102" t="b">
        <v>0</v>
      </c>
    </row>
    <row r="73" spans="1:7" ht="15">
      <c r="A73" s="97" t="s">
        <v>2715</v>
      </c>
      <c r="B73" s="102">
        <v>8</v>
      </c>
      <c r="C73" s="118">
        <v>0.0031601593541568163</v>
      </c>
      <c r="D73" s="102" t="s">
        <v>3110</v>
      </c>
      <c r="E73" s="102" t="b">
        <v>0</v>
      </c>
      <c r="F73" s="102" t="b">
        <v>0</v>
      </c>
      <c r="G73" s="102" t="b">
        <v>0</v>
      </c>
    </row>
    <row r="74" spans="1:7" ht="15">
      <c r="A74" s="97" t="s">
        <v>2716</v>
      </c>
      <c r="B74" s="102">
        <v>8</v>
      </c>
      <c r="C74" s="118">
        <v>0.0031601593541568163</v>
      </c>
      <c r="D74" s="102" t="s">
        <v>3110</v>
      </c>
      <c r="E74" s="102" t="b">
        <v>0</v>
      </c>
      <c r="F74" s="102" t="b">
        <v>0</v>
      </c>
      <c r="G74" s="102" t="b">
        <v>0</v>
      </c>
    </row>
    <row r="75" spans="1:7" ht="15">
      <c r="A75" s="97" t="s">
        <v>450</v>
      </c>
      <c r="B75" s="102">
        <v>8</v>
      </c>
      <c r="C75" s="118">
        <v>0.0031601593541568163</v>
      </c>
      <c r="D75" s="102" t="s">
        <v>3110</v>
      </c>
      <c r="E75" s="102" t="b">
        <v>0</v>
      </c>
      <c r="F75" s="102" t="b">
        <v>0</v>
      </c>
      <c r="G75" s="102" t="b">
        <v>0</v>
      </c>
    </row>
    <row r="76" spans="1:7" ht="15">
      <c r="A76" s="97" t="s">
        <v>372</v>
      </c>
      <c r="B76" s="102">
        <v>7</v>
      </c>
      <c r="C76" s="118">
        <v>0.0028721638558847906</v>
      </c>
      <c r="D76" s="102" t="s">
        <v>3110</v>
      </c>
      <c r="E76" s="102" t="b">
        <v>0</v>
      </c>
      <c r="F76" s="102" t="b">
        <v>0</v>
      </c>
      <c r="G76" s="102" t="b">
        <v>0</v>
      </c>
    </row>
    <row r="77" spans="1:7" ht="15">
      <c r="A77" s="97" t="s">
        <v>448</v>
      </c>
      <c r="B77" s="102">
        <v>7</v>
      </c>
      <c r="C77" s="118">
        <v>0.0028721638558847906</v>
      </c>
      <c r="D77" s="102" t="s">
        <v>3110</v>
      </c>
      <c r="E77" s="102" t="b">
        <v>0</v>
      </c>
      <c r="F77" s="102" t="b">
        <v>0</v>
      </c>
      <c r="G77" s="102" t="b">
        <v>0</v>
      </c>
    </row>
    <row r="78" spans="1:7" ht="15">
      <c r="A78" s="97" t="s">
        <v>399</v>
      </c>
      <c r="B78" s="102">
        <v>7</v>
      </c>
      <c r="C78" s="118">
        <v>0.0028721638558847906</v>
      </c>
      <c r="D78" s="102" t="s">
        <v>3110</v>
      </c>
      <c r="E78" s="102" t="b">
        <v>0</v>
      </c>
      <c r="F78" s="102" t="b">
        <v>0</v>
      </c>
      <c r="G78" s="102" t="b">
        <v>0</v>
      </c>
    </row>
    <row r="79" spans="1:7" ht="15">
      <c r="A79" s="97" t="s">
        <v>2717</v>
      </c>
      <c r="B79" s="102">
        <v>7</v>
      </c>
      <c r="C79" s="118">
        <v>0.0028721638558847906</v>
      </c>
      <c r="D79" s="102" t="s">
        <v>3110</v>
      </c>
      <c r="E79" s="102" t="b">
        <v>0</v>
      </c>
      <c r="F79" s="102" t="b">
        <v>0</v>
      </c>
      <c r="G79" s="102" t="b">
        <v>0</v>
      </c>
    </row>
    <row r="80" spans="1:7" ht="15">
      <c r="A80" s="97" t="s">
        <v>385</v>
      </c>
      <c r="B80" s="102">
        <v>7</v>
      </c>
      <c r="C80" s="118">
        <v>0.0028721638558847906</v>
      </c>
      <c r="D80" s="102" t="s">
        <v>3110</v>
      </c>
      <c r="E80" s="102" t="b">
        <v>0</v>
      </c>
      <c r="F80" s="102" t="b">
        <v>0</v>
      </c>
      <c r="G80" s="102" t="b">
        <v>0</v>
      </c>
    </row>
    <row r="81" spans="1:7" ht="15">
      <c r="A81" s="97" t="s">
        <v>2718</v>
      </c>
      <c r="B81" s="102">
        <v>7</v>
      </c>
      <c r="C81" s="118">
        <v>0.0028721638558847906</v>
      </c>
      <c r="D81" s="102" t="s">
        <v>3110</v>
      </c>
      <c r="E81" s="102" t="b">
        <v>0</v>
      </c>
      <c r="F81" s="102" t="b">
        <v>0</v>
      </c>
      <c r="G81" s="102" t="b">
        <v>0</v>
      </c>
    </row>
    <row r="82" spans="1:7" ht="15">
      <c r="A82" s="97" t="s">
        <v>2719</v>
      </c>
      <c r="B82" s="102">
        <v>7</v>
      </c>
      <c r="C82" s="118">
        <v>0.0028721638558847906</v>
      </c>
      <c r="D82" s="102" t="s">
        <v>3110</v>
      </c>
      <c r="E82" s="102" t="b">
        <v>0</v>
      </c>
      <c r="F82" s="102" t="b">
        <v>0</v>
      </c>
      <c r="G82" s="102" t="b">
        <v>0</v>
      </c>
    </row>
    <row r="83" spans="1:7" ht="15">
      <c r="A83" s="97" t="s">
        <v>2720</v>
      </c>
      <c r="B83" s="102">
        <v>7</v>
      </c>
      <c r="C83" s="118">
        <v>0.0028721638558847906</v>
      </c>
      <c r="D83" s="102" t="s">
        <v>3110</v>
      </c>
      <c r="E83" s="102" t="b">
        <v>0</v>
      </c>
      <c r="F83" s="102" t="b">
        <v>0</v>
      </c>
      <c r="G83" s="102" t="b">
        <v>0</v>
      </c>
    </row>
    <row r="84" spans="1:7" ht="15">
      <c r="A84" s="97" t="s">
        <v>2721</v>
      </c>
      <c r="B84" s="102">
        <v>7</v>
      </c>
      <c r="C84" s="118">
        <v>0.0028721638558847906</v>
      </c>
      <c r="D84" s="102" t="s">
        <v>3110</v>
      </c>
      <c r="E84" s="102" t="b">
        <v>0</v>
      </c>
      <c r="F84" s="102" t="b">
        <v>0</v>
      </c>
      <c r="G84" s="102" t="b">
        <v>0</v>
      </c>
    </row>
    <row r="85" spans="1:7" ht="15">
      <c r="A85" s="97" t="s">
        <v>2722</v>
      </c>
      <c r="B85" s="102">
        <v>7</v>
      </c>
      <c r="C85" s="118">
        <v>0.0028721638558847906</v>
      </c>
      <c r="D85" s="102" t="s">
        <v>3110</v>
      </c>
      <c r="E85" s="102" t="b">
        <v>0</v>
      </c>
      <c r="F85" s="102" t="b">
        <v>0</v>
      </c>
      <c r="G85" s="102" t="b">
        <v>0</v>
      </c>
    </row>
    <row r="86" spans="1:7" ht="15">
      <c r="A86" s="97" t="s">
        <v>2723</v>
      </c>
      <c r="B86" s="102">
        <v>7</v>
      </c>
      <c r="C86" s="118">
        <v>0.0028721638558847906</v>
      </c>
      <c r="D86" s="102" t="s">
        <v>3110</v>
      </c>
      <c r="E86" s="102" t="b">
        <v>0</v>
      </c>
      <c r="F86" s="102" t="b">
        <v>0</v>
      </c>
      <c r="G86" s="102" t="b">
        <v>0</v>
      </c>
    </row>
    <row r="87" spans="1:7" ht="15">
      <c r="A87" s="97" t="s">
        <v>2724</v>
      </c>
      <c r="B87" s="102">
        <v>7</v>
      </c>
      <c r="C87" s="118">
        <v>0.0028721638558847906</v>
      </c>
      <c r="D87" s="102" t="s">
        <v>3110</v>
      </c>
      <c r="E87" s="102" t="b">
        <v>0</v>
      </c>
      <c r="F87" s="102" t="b">
        <v>0</v>
      </c>
      <c r="G87" s="102" t="b">
        <v>0</v>
      </c>
    </row>
    <row r="88" spans="1:7" ht="15">
      <c r="A88" s="97" t="s">
        <v>2725</v>
      </c>
      <c r="B88" s="102">
        <v>7</v>
      </c>
      <c r="C88" s="118">
        <v>0.0028721638558847906</v>
      </c>
      <c r="D88" s="102" t="s">
        <v>3110</v>
      </c>
      <c r="E88" s="102" t="b">
        <v>0</v>
      </c>
      <c r="F88" s="102" t="b">
        <v>0</v>
      </c>
      <c r="G88" s="102" t="b">
        <v>0</v>
      </c>
    </row>
    <row r="89" spans="1:7" ht="15">
      <c r="A89" s="97" t="s">
        <v>2726</v>
      </c>
      <c r="B89" s="102">
        <v>7</v>
      </c>
      <c r="C89" s="118">
        <v>0.0028721638558847906</v>
      </c>
      <c r="D89" s="102" t="s">
        <v>3110</v>
      </c>
      <c r="E89" s="102" t="b">
        <v>0</v>
      </c>
      <c r="F89" s="102" t="b">
        <v>0</v>
      </c>
      <c r="G89" s="102" t="b">
        <v>0</v>
      </c>
    </row>
    <row r="90" spans="1:7" ht="15">
      <c r="A90" s="97" t="s">
        <v>2727</v>
      </c>
      <c r="B90" s="102">
        <v>7</v>
      </c>
      <c r="C90" s="118">
        <v>0.0028721638558847906</v>
      </c>
      <c r="D90" s="102" t="s">
        <v>3110</v>
      </c>
      <c r="E90" s="102" t="b">
        <v>0</v>
      </c>
      <c r="F90" s="102" t="b">
        <v>0</v>
      </c>
      <c r="G90" s="102" t="b">
        <v>0</v>
      </c>
    </row>
    <row r="91" spans="1:7" ht="15">
      <c r="A91" s="97" t="s">
        <v>2728</v>
      </c>
      <c r="B91" s="102">
        <v>7</v>
      </c>
      <c r="C91" s="118">
        <v>0.0028721638558847906</v>
      </c>
      <c r="D91" s="102" t="s">
        <v>3110</v>
      </c>
      <c r="E91" s="102" t="b">
        <v>0</v>
      </c>
      <c r="F91" s="102" t="b">
        <v>0</v>
      </c>
      <c r="G91" s="102" t="b">
        <v>0</v>
      </c>
    </row>
    <row r="92" spans="1:7" ht="15">
      <c r="A92" s="97" t="s">
        <v>2729</v>
      </c>
      <c r="B92" s="102">
        <v>6</v>
      </c>
      <c r="C92" s="118">
        <v>0.002567755270864066</v>
      </c>
      <c r="D92" s="102" t="s">
        <v>3110</v>
      </c>
      <c r="E92" s="102" t="b">
        <v>0</v>
      </c>
      <c r="F92" s="102" t="b">
        <v>0</v>
      </c>
      <c r="G92" s="102" t="b">
        <v>0</v>
      </c>
    </row>
    <row r="93" spans="1:7" ht="15">
      <c r="A93" s="97" t="s">
        <v>2730</v>
      </c>
      <c r="B93" s="102">
        <v>6</v>
      </c>
      <c r="C93" s="118">
        <v>0.002567755270864066</v>
      </c>
      <c r="D93" s="102" t="s">
        <v>3110</v>
      </c>
      <c r="E93" s="102" t="b">
        <v>0</v>
      </c>
      <c r="F93" s="102" t="b">
        <v>0</v>
      </c>
      <c r="G93" s="102" t="b">
        <v>0</v>
      </c>
    </row>
    <row r="94" spans="1:7" ht="15">
      <c r="A94" s="97" t="s">
        <v>2731</v>
      </c>
      <c r="B94" s="102">
        <v>6</v>
      </c>
      <c r="C94" s="118">
        <v>0.002567755270864066</v>
      </c>
      <c r="D94" s="102" t="s">
        <v>3110</v>
      </c>
      <c r="E94" s="102" t="b">
        <v>0</v>
      </c>
      <c r="F94" s="102" t="b">
        <v>0</v>
      </c>
      <c r="G94" s="102" t="b">
        <v>0</v>
      </c>
    </row>
    <row r="95" spans="1:7" ht="15">
      <c r="A95" s="97" t="s">
        <v>2732</v>
      </c>
      <c r="B95" s="102">
        <v>6</v>
      </c>
      <c r="C95" s="118">
        <v>0.002567755270864066</v>
      </c>
      <c r="D95" s="102" t="s">
        <v>3110</v>
      </c>
      <c r="E95" s="102" t="b">
        <v>0</v>
      </c>
      <c r="F95" s="102" t="b">
        <v>0</v>
      </c>
      <c r="G95" s="102" t="b">
        <v>0</v>
      </c>
    </row>
    <row r="96" spans="1:7" ht="15">
      <c r="A96" s="97" t="s">
        <v>349</v>
      </c>
      <c r="B96" s="102">
        <v>6</v>
      </c>
      <c r="C96" s="118">
        <v>0.002567755270864066</v>
      </c>
      <c r="D96" s="102" t="s">
        <v>3110</v>
      </c>
      <c r="E96" s="102" t="b">
        <v>0</v>
      </c>
      <c r="F96" s="102" t="b">
        <v>0</v>
      </c>
      <c r="G96" s="102" t="b">
        <v>0</v>
      </c>
    </row>
    <row r="97" spans="1:7" ht="15">
      <c r="A97" s="97" t="s">
        <v>2733</v>
      </c>
      <c r="B97" s="102">
        <v>6</v>
      </c>
      <c r="C97" s="118">
        <v>0.002567755270864066</v>
      </c>
      <c r="D97" s="102" t="s">
        <v>3110</v>
      </c>
      <c r="E97" s="102" t="b">
        <v>0</v>
      </c>
      <c r="F97" s="102" t="b">
        <v>0</v>
      </c>
      <c r="G97" s="102" t="b">
        <v>0</v>
      </c>
    </row>
    <row r="98" spans="1:7" ht="15">
      <c r="A98" s="97" t="s">
        <v>2734</v>
      </c>
      <c r="B98" s="102">
        <v>6</v>
      </c>
      <c r="C98" s="118">
        <v>0.002567755270864066</v>
      </c>
      <c r="D98" s="102" t="s">
        <v>3110</v>
      </c>
      <c r="E98" s="102" t="b">
        <v>0</v>
      </c>
      <c r="F98" s="102" t="b">
        <v>0</v>
      </c>
      <c r="G98" s="102" t="b">
        <v>0</v>
      </c>
    </row>
    <row r="99" spans="1:7" ht="15">
      <c r="A99" s="97" t="s">
        <v>2735</v>
      </c>
      <c r="B99" s="102">
        <v>6</v>
      </c>
      <c r="C99" s="118">
        <v>0.002567755270864066</v>
      </c>
      <c r="D99" s="102" t="s">
        <v>3110</v>
      </c>
      <c r="E99" s="102" t="b">
        <v>0</v>
      </c>
      <c r="F99" s="102" t="b">
        <v>1</v>
      </c>
      <c r="G99" s="102" t="b">
        <v>0</v>
      </c>
    </row>
    <row r="100" spans="1:7" ht="15">
      <c r="A100" s="97" t="s">
        <v>2736</v>
      </c>
      <c r="B100" s="102">
        <v>6</v>
      </c>
      <c r="C100" s="118">
        <v>0.002567755270864066</v>
      </c>
      <c r="D100" s="102" t="s">
        <v>3110</v>
      </c>
      <c r="E100" s="102" t="b">
        <v>0</v>
      </c>
      <c r="F100" s="102" t="b">
        <v>0</v>
      </c>
      <c r="G100" s="102" t="b">
        <v>0</v>
      </c>
    </row>
    <row r="101" spans="1:7" ht="15">
      <c r="A101" s="97" t="s">
        <v>2737</v>
      </c>
      <c r="B101" s="102">
        <v>6</v>
      </c>
      <c r="C101" s="118">
        <v>0.002567755270864066</v>
      </c>
      <c r="D101" s="102" t="s">
        <v>3110</v>
      </c>
      <c r="E101" s="102" t="b">
        <v>0</v>
      </c>
      <c r="F101" s="102" t="b">
        <v>0</v>
      </c>
      <c r="G101" s="102" t="b">
        <v>0</v>
      </c>
    </row>
    <row r="102" spans="1:7" ht="15">
      <c r="A102" s="97" t="s">
        <v>2738</v>
      </c>
      <c r="B102" s="102">
        <v>6</v>
      </c>
      <c r="C102" s="118">
        <v>0.0026930090215326</v>
      </c>
      <c r="D102" s="102" t="s">
        <v>3110</v>
      </c>
      <c r="E102" s="102" t="b">
        <v>0</v>
      </c>
      <c r="F102" s="102" t="b">
        <v>0</v>
      </c>
      <c r="G102" s="102" t="b">
        <v>0</v>
      </c>
    </row>
    <row r="103" spans="1:7" ht="15">
      <c r="A103" s="97" t="s">
        <v>2739</v>
      </c>
      <c r="B103" s="102">
        <v>6</v>
      </c>
      <c r="C103" s="118">
        <v>0.0028463072229690193</v>
      </c>
      <c r="D103" s="102" t="s">
        <v>3110</v>
      </c>
      <c r="E103" s="102" t="b">
        <v>0</v>
      </c>
      <c r="F103" s="102" t="b">
        <v>0</v>
      </c>
      <c r="G103" s="102" t="b">
        <v>0</v>
      </c>
    </row>
    <row r="104" spans="1:7" ht="15">
      <c r="A104" s="97" t="s">
        <v>2740</v>
      </c>
      <c r="B104" s="102">
        <v>6</v>
      </c>
      <c r="C104" s="118">
        <v>0.002567755270864066</v>
      </c>
      <c r="D104" s="102" t="s">
        <v>3110</v>
      </c>
      <c r="E104" s="102" t="b">
        <v>0</v>
      </c>
      <c r="F104" s="102" t="b">
        <v>0</v>
      </c>
      <c r="G104" s="102" t="b">
        <v>0</v>
      </c>
    </row>
    <row r="105" spans="1:7" ht="15">
      <c r="A105" s="97" t="s">
        <v>2741</v>
      </c>
      <c r="B105" s="102">
        <v>6</v>
      </c>
      <c r="C105" s="118">
        <v>0.002567755270864066</v>
      </c>
      <c r="D105" s="102" t="s">
        <v>3110</v>
      </c>
      <c r="E105" s="102" t="b">
        <v>0</v>
      </c>
      <c r="F105" s="102" t="b">
        <v>0</v>
      </c>
      <c r="G105" s="102" t="b">
        <v>0</v>
      </c>
    </row>
    <row r="106" spans="1:7" ht="15">
      <c r="A106" s="97" t="s">
        <v>2742</v>
      </c>
      <c r="B106" s="102">
        <v>6</v>
      </c>
      <c r="C106" s="118">
        <v>0.002567755270864066</v>
      </c>
      <c r="D106" s="102" t="s">
        <v>3110</v>
      </c>
      <c r="E106" s="102" t="b">
        <v>0</v>
      </c>
      <c r="F106" s="102" t="b">
        <v>0</v>
      </c>
      <c r="G106" s="102" t="b">
        <v>0</v>
      </c>
    </row>
    <row r="107" spans="1:7" ht="15">
      <c r="A107" s="97" t="s">
        <v>2743</v>
      </c>
      <c r="B107" s="102">
        <v>6</v>
      </c>
      <c r="C107" s="118">
        <v>0.0028463072229690193</v>
      </c>
      <c r="D107" s="102" t="s">
        <v>3110</v>
      </c>
      <c r="E107" s="102" t="b">
        <v>0</v>
      </c>
      <c r="F107" s="102" t="b">
        <v>0</v>
      </c>
      <c r="G107" s="102" t="b">
        <v>0</v>
      </c>
    </row>
    <row r="108" spans="1:7" ht="15">
      <c r="A108" s="97" t="s">
        <v>2744</v>
      </c>
      <c r="B108" s="102">
        <v>6</v>
      </c>
      <c r="C108" s="118">
        <v>0.0033224949303204267</v>
      </c>
      <c r="D108" s="102" t="s">
        <v>3110</v>
      </c>
      <c r="E108" s="102" t="b">
        <v>0</v>
      </c>
      <c r="F108" s="102" t="b">
        <v>0</v>
      </c>
      <c r="G108" s="102" t="b">
        <v>0</v>
      </c>
    </row>
    <row r="109" spans="1:7" ht="15">
      <c r="A109" s="97" t="s">
        <v>2745</v>
      </c>
      <c r="B109" s="102">
        <v>5</v>
      </c>
      <c r="C109" s="118">
        <v>0.0022441741846105</v>
      </c>
      <c r="D109" s="102" t="s">
        <v>3110</v>
      </c>
      <c r="E109" s="102" t="b">
        <v>0</v>
      </c>
      <c r="F109" s="102" t="b">
        <v>0</v>
      </c>
      <c r="G109" s="102" t="b">
        <v>0</v>
      </c>
    </row>
    <row r="110" spans="1:7" ht="15">
      <c r="A110" s="97" t="s">
        <v>501</v>
      </c>
      <c r="B110" s="102">
        <v>5</v>
      </c>
      <c r="C110" s="118">
        <v>0.0022441741846105</v>
      </c>
      <c r="D110" s="102" t="s">
        <v>3110</v>
      </c>
      <c r="E110" s="102" t="b">
        <v>0</v>
      </c>
      <c r="F110" s="102" t="b">
        <v>0</v>
      </c>
      <c r="G110" s="102" t="b">
        <v>0</v>
      </c>
    </row>
    <row r="111" spans="1:7" ht="15">
      <c r="A111" s="97" t="s">
        <v>2746</v>
      </c>
      <c r="B111" s="102">
        <v>5</v>
      </c>
      <c r="C111" s="118">
        <v>0.0022441741846105</v>
      </c>
      <c r="D111" s="102" t="s">
        <v>3110</v>
      </c>
      <c r="E111" s="102" t="b">
        <v>0</v>
      </c>
      <c r="F111" s="102" t="b">
        <v>0</v>
      </c>
      <c r="G111" s="102" t="b">
        <v>0</v>
      </c>
    </row>
    <row r="112" spans="1:7" ht="15">
      <c r="A112" s="97" t="s">
        <v>2747</v>
      </c>
      <c r="B112" s="102">
        <v>5</v>
      </c>
      <c r="C112" s="118">
        <v>0.0022441741846105</v>
      </c>
      <c r="D112" s="102" t="s">
        <v>3110</v>
      </c>
      <c r="E112" s="102" t="b">
        <v>0</v>
      </c>
      <c r="F112" s="102" t="b">
        <v>0</v>
      </c>
      <c r="G112" s="102" t="b">
        <v>0</v>
      </c>
    </row>
    <row r="113" spans="1:7" ht="15">
      <c r="A113" s="97" t="s">
        <v>390</v>
      </c>
      <c r="B113" s="102">
        <v>5</v>
      </c>
      <c r="C113" s="118">
        <v>0.0022441741846105</v>
      </c>
      <c r="D113" s="102" t="s">
        <v>3110</v>
      </c>
      <c r="E113" s="102" t="b">
        <v>0</v>
      </c>
      <c r="F113" s="102" t="b">
        <v>0</v>
      </c>
      <c r="G113" s="102" t="b">
        <v>0</v>
      </c>
    </row>
    <row r="114" spans="1:7" ht="15">
      <c r="A114" s="97" t="s">
        <v>2748</v>
      </c>
      <c r="B114" s="102">
        <v>5</v>
      </c>
      <c r="C114" s="118">
        <v>0.002371922685807516</v>
      </c>
      <c r="D114" s="102" t="s">
        <v>3110</v>
      </c>
      <c r="E114" s="102" t="b">
        <v>0</v>
      </c>
      <c r="F114" s="102" t="b">
        <v>0</v>
      </c>
      <c r="G114" s="102" t="b">
        <v>0</v>
      </c>
    </row>
    <row r="115" spans="1:7" ht="15">
      <c r="A115" s="97" t="s">
        <v>2749</v>
      </c>
      <c r="B115" s="102">
        <v>5</v>
      </c>
      <c r="C115" s="118">
        <v>0.0022441741846105</v>
      </c>
      <c r="D115" s="102" t="s">
        <v>3110</v>
      </c>
      <c r="E115" s="102" t="b">
        <v>0</v>
      </c>
      <c r="F115" s="102" t="b">
        <v>0</v>
      </c>
      <c r="G115" s="102" t="b">
        <v>0</v>
      </c>
    </row>
    <row r="116" spans="1:7" ht="15">
      <c r="A116" s="97" t="s">
        <v>2750</v>
      </c>
      <c r="B116" s="102">
        <v>5</v>
      </c>
      <c r="C116" s="118">
        <v>0.0022441741846105</v>
      </c>
      <c r="D116" s="102" t="s">
        <v>3110</v>
      </c>
      <c r="E116" s="102" t="b">
        <v>0</v>
      </c>
      <c r="F116" s="102" t="b">
        <v>0</v>
      </c>
      <c r="G116" s="102" t="b">
        <v>0</v>
      </c>
    </row>
    <row r="117" spans="1:7" ht="15">
      <c r="A117" s="97" t="s">
        <v>2751</v>
      </c>
      <c r="B117" s="102">
        <v>5</v>
      </c>
      <c r="C117" s="118">
        <v>0.0022441741846105</v>
      </c>
      <c r="D117" s="102" t="s">
        <v>3110</v>
      </c>
      <c r="E117" s="102" t="b">
        <v>0</v>
      </c>
      <c r="F117" s="102" t="b">
        <v>0</v>
      </c>
      <c r="G117" s="102" t="b">
        <v>0</v>
      </c>
    </row>
    <row r="118" spans="1:7" ht="15">
      <c r="A118" s="97" t="s">
        <v>2752</v>
      </c>
      <c r="B118" s="102">
        <v>5</v>
      </c>
      <c r="C118" s="118">
        <v>0.002371922685807516</v>
      </c>
      <c r="D118" s="102" t="s">
        <v>3110</v>
      </c>
      <c r="E118" s="102" t="b">
        <v>0</v>
      </c>
      <c r="F118" s="102" t="b">
        <v>0</v>
      </c>
      <c r="G118" s="102" t="b">
        <v>0</v>
      </c>
    </row>
    <row r="119" spans="1:7" ht="15">
      <c r="A119" s="97" t="s">
        <v>2753</v>
      </c>
      <c r="B119" s="102">
        <v>5</v>
      </c>
      <c r="C119" s="118">
        <v>0.0022441741846105</v>
      </c>
      <c r="D119" s="102" t="s">
        <v>3110</v>
      </c>
      <c r="E119" s="102" t="b">
        <v>0</v>
      </c>
      <c r="F119" s="102" t="b">
        <v>0</v>
      </c>
      <c r="G119" s="102" t="b">
        <v>0</v>
      </c>
    </row>
    <row r="120" spans="1:7" ht="15">
      <c r="A120" s="97" t="s">
        <v>2754</v>
      </c>
      <c r="B120" s="102">
        <v>5</v>
      </c>
      <c r="C120" s="118">
        <v>0.0022441741846105</v>
      </c>
      <c r="D120" s="102" t="s">
        <v>3110</v>
      </c>
      <c r="E120" s="102" t="b">
        <v>0</v>
      </c>
      <c r="F120" s="102" t="b">
        <v>0</v>
      </c>
      <c r="G120" s="102" t="b">
        <v>0</v>
      </c>
    </row>
    <row r="121" spans="1:7" ht="15">
      <c r="A121" s="97" t="s">
        <v>2755</v>
      </c>
      <c r="B121" s="102">
        <v>5</v>
      </c>
      <c r="C121" s="118">
        <v>0.0022441741846105</v>
      </c>
      <c r="D121" s="102" t="s">
        <v>3110</v>
      </c>
      <c r="E121" s="102" t="b">
        <v>0</v>
      </c>
      <c r="F121" s="102" t="b">
        <v>0</v>
      </c>
      <c r="G121" s="102" t="b">
        <v>0</v>
      </c>
    </row>
    <row r="122" spans="1:7" ht="15">
      <c r="A122" s="97" t="s">
        <v>2756</v>
      </c>
      <c r="B122" s="102">
        <v>5</v>
      </c>
      <c r="C122" s="118">
        <v>0.0022441741846105</v>
      </c>
      <c r="D122" s="102" t="s">
        <v>3110</v>
      </c>
      <c r="E122" s="102" t="b">
        <v>0</v>
      </c>
      <c r="F122" s="102" t="b">
        <v>0</v>
      </c>
      <c r="G122" s="102" t="b">
        <v>0</v>
      </c>
    </row>
    <row r="123" spans="1:7" ht="15">
      <c r="A123" s="97" t="s">
        <v>2757</v>
      </c>
      <c r="B123" s="102">
        <v>5</v>
      </c>
      <c r="C123" s="118">
        <v>0.0022441741846105</v>
      </c>
      <c r="D123" s="102" t="s">
        <v>3110</v>
      </c>
      <c r="E123" s="102" t="b">
        <v>0</v>
      </c>
      <c r="F123" s="102" t="b">
        <v>0</v>
      </c>
      <c r="G123" s="102" t="b">
        <v>0</v>
      </c>
    </row>
    <row r="124" spans="1:7" ht="15">
      <c r="A124" s="97" t="s">
        <v>2758</v>
      </c>
      <c r="B124" s="102">
        <v>5</v>
      </c>
      <c r="C124" s="118">
        <v>0.0022441741846105</v>
      </c>
      <c r="D124" s="102" t="s">
        <v>3110</v>
      </c>
      <c r="E124" s="102" t="b">
        <v>0</v>
      </c>
      <c r="F124" s="102" t="b">
        <v>0</v>
      </c>
      <c r="G124" s="102" t="b">
        <v>0</v>
      </c>
    </row>
    <row r="125" spans="1:7" ht="15">
      <c r="A125" s="97" t="s">
        <v>434</v>
      </c>
      <c r="B125" s="102">
        <v>5</v>
      </c>
      <c r="C125" s="118">
        <v>0.0022441741846105</v>
      </c>
      <c r="D125" s="102" t="s">
        <v>3110</v>
      </c>
      <c r="E125" s="102" t="b">
        <v>0</v>
      </c>
      <c r="F125" s="102" t="b">
        <v>0</v>
      </c>
      <c r="G125" s="102" t="b">
        <v>0</v>
      </c>
    </row>
    <row r="126" spans="1:7" ht="15">
      <c r="A126" s="97" t="s">
        <v>378</v>
      </c>
      <c r="B126" s="102">
        <v>5</v>
      </c>
      <c r="C126" s="118">
        <v>0.0022441741846105</v>
      </c>
      <c r="D126" s="102" t="s">
        <v>3110</v>
      </c>
      <c r="E126" s="102" t="b">
        <v>0</v>
      </c>
      <c r="F126" s="102" t="b">
        <v>0</v>
      </c>
      <c r="G126" s="102" t="b">
        <v>0</v>
      </c>
    </row>
    <row r="127" spans="1:7" ht="15">
      <c r="A127" s="97" t="s">
        <v>433</v>
      </c>
      <c r="B127" s="102">
        <v>5</v>
      </c>
      <c r="C127" s="118">
        <v>0.0022441741846105</v>
      </c>
      <c r="D127" s="102" t="s">
        <v>3110</v>
      </c>
      <c r="E127" s="102" t="b">
        <v>0</v>
      </c>
      <c r="F127" s="102" t="b">
        <v>0</v>
      </c>
      <c r="G127" s="102" t="b">
        <v>0</v>
      </c>
    </row>
    <row r="128" spans="1:7" ht="15">
      <c r="A128" s="97" t="s">
        <v>2759</v>
      </c>
      <c r="B128" s="102">
        <v>5</v>
      </c>
      <c r="C128" s="118">
        <v>0.0022441741846105</v>
      </c>
      <c r="D128" s="102" t="s">
        <v>3110</v>
      </c>
      <c r="E128" s="102" t="b">
        <v>0</v>
      </c>
      <c r="F128" s="102" t="b">
        <v>0</v>
      </c>
      <c r="G128" s="102" t="b">
        <v>0</v>
      </c>
    </row>
    <row r="129" spans="1:7" ht="15">
      <c r="A129" s="97" t="s">
        <v>2760</v>
      </c>
      <c r="B129" s="102">
        <v>5</v>
      </c>
      <c r="C129" s="118">
        <v>0.0022441741846105</v>
      </c>
      <c r="D129" s="102" t="s">
        <v>3110</v>
      </c>
      <c r="E129" s="102" t="b">
        <v>0</v>
      </c>
      <c r="F129" s="102" t="b">
        <v>0</v>
      </c>
      <c r="G129" s="102" t="b">
        <v>0</v>
      </c>
    </row>
    <row r="130" spans="1:7" ht="15">
      <c r="A130" s="97" t="s">
        <v>2761</v>
      </c>
      <c r="B130" s="102">
        <v>5</v>
      </c>
      <c r="C130" s="118">
        <v>0.0022441741846105</v>
      </c>
      <c r="D130" s="102" t="s">
        <v>3110</v>
      </c>
      <c r="E130" s="102" t="b">
        <v>0</v>
      </c>
      <c r="F130" s="102" t="b">
        <v>0</v>
      </c>
      <c r="G130" s="102" t="b">
        <v>0</v>
      </c>
    </row>
    <row r="131" spans="1:7" ht="15">
      <c r="A131" s="97" t="s">
        <v>2762</v>
      </c>
      <c r="B131" s="102">
        <v>5</v>
      </c>
      <c r="C131" s="118">
        <v>0.0022441741846105</v>
      </c>
      <c r="D131" s="102" t="s">
        <v>3110</v>
      </c>
      <c r="E131" s="102" t="b">
        <v>0</v>
      </c>
      <c r="F131" s="102" t="b">
        <v>0</v>
      </c>
      <c r="G131" s="102" t="b">
        <v>0</v>
      </c>
    </row>
    <row r="132" spans="1:7" ht="15">
      <c r="A132" s="97" t="s">
        <v>388</v>
      </c>
      <c r="B132" s="102">
        <v>5</v>
      </c>
      <c r="C132" s="118">
        <v>0.0022441741846105</v>
      </c>
      <c r="D132" s="102" t="s">
        <v>3110</v>
      </c>
      <c r="E132" s="102" t="b">
        <v>0</v>
      </c>
      <c r="F132" s="102" t="b">
        <v>0</v>
      </c>
      <c r="G132" s="102" t="b">
        <v>0</v>
      </c>
    </row>
    <row r="133" spans="1:7" ht="15">
      <c r="A133" s="97" t="s">
        <v>397</v>
      </c>
      <c r="B133" s="102">
        <v>5</v>
      </c>
      <c r="C133" s="118">
        <v>0.002371922685807516</v>
      </c>
      <c r="D133" s="102" t="s">
        <v>3110</v>
      </c>
      <c r="E133" s="102" t="b">
        <v>0</v>
      </c>
      <c r="F133" s="102" t="b">
        <v>0</v>
      </c>
      <c r="G133" s="102" t="b">
        <v>0</v>
      </c>
    </row>
    <row r="134" spans="1:7" ht="15">
      <c r="A134" s="97" t="s">
        <v>2763</v>
      </c>
      <c r="B134" s="102">
        <v>4</v>
      </c>
      <c r="C134" s="118">
        <v>0.002029295318810316</v>
      </c>
      <c r="D134" s="102" t="s">
        <v>3110</v>
      </c>
      <c r="E134" s="102" t="b">
        <v>0</v>
      </c>
      <c r="F134" s="102" t="b">
        <v>0</v>
      </c>
      <c r="G134" s="102" t="b">
        <v>0</v>
      </c>
    </row>
    <row r="135" spans="1:7" ht="15">
      <c r="A135" s="97" t="s">
        <v>2764</v>
      </c>
      <c r="B135" s="102">
        <v>4</v>
      </c>
      <c r="C135" s="118">
        <v>0.001897538148646013</v>
      </c>
      <c r="D135" s="102" t="s">
        <v>3110</v>
      </c>
      <c r="E135" s="102" t="b">
        <v>0</v>
      </c>
      <c r="F135" s="102" t="b">
        <v>0</v>
      </c>
      <c r="G135" s="102" t="b">
        <v>0</v>
      </c>
    </row>
    <row r="136" spans="1:7" ht="15">
      <c r="A136" s="97" t="s">
        <v>2765</v>
      </c>
      <c r="B136" s="102">
        <v>4</v>
      </c>
      <c r="C136" s="118">
        <v>0.001897538148646013</v>
      </c>
      <c r="D136" s="102" t="s">
        <v>3110</v>
      </c>
      <c r="E136" s="102" t="b">
        <v>0</v>
      </c>
      <c r="F136" s="102" t="b">
        <v>0</v>
      </c>
      <c r="G136" s="102" t="b">
        <v>0</v>
      </c>
    </row>
    <row r="137" spans="1:7" ht="15">
      <c r="A137" s="97" t="s">
        <v>2766</v>
      </c>
      <c r="B137" s="102">
        <v>4</v>
      </c>
      <c r="C137" s="118">
        <v>0.001897538148646013</v>
      </c>
      <c r="D137" s="102" t="s">
        <v>3110</v>
      </c>
      <c r="E137" s="102" t="b">
        <v>0</v>
      </c>
      <c r="F137" s="102" t="b">
        <v>0</v>
      </c>
      <c r="G137" s="102" t="b">
        <v>0</v>
      </c>
    </row>
    <row r="138" spans="1:7" ht="15">
      <c r="A138" s="97" t="s">
        <v>2767</v>
      </c>
      <c r="B138" s="102">
        <v>4</v>
      </c>
      <c r="C138" s="118">
        <v>0.001897538148646013</v>
      </c>
      <c r="D138" s="102" t="s">
        <v>3110</v>
      </c>
      <c r="E138" s="102" t="b">
        <v>0</v>
      </c>
      <c r="F138" s="102" t="b">
        <v>0</v>
      </c>
      <c r="G138" s="102" t="b">
        <v>0</v>
      </c>
    </row>
    <row r="139" spans="1:7" ht="15">
      <c r="A139" s="97" t="s">
        <v>2768</v>
      </c>
      <c r="B139" s="102">
        <v>4</v>
      </c>
      <c r="C139" s="118">
        <v>0.001897538148646013</v>
      </c>
      <c r="D139" s="102" t="s">
        <v>3110</v>
      </c>
      <c r="E139" s="102" t="b">
        <v>0</v>
      </c>
      <c r="F139" s="102" t="b">
        <v>0</v>
      </c>
      <c r="G139" s="102" t="b">
        <v>0</v>
      </c>
    </row>
    <row r="140" spans="1:7" ht="15">
      <c r="A140" s="97" t="s">
        <v>2769</v>
      </c>
      <c r="B140" s="102">
        <v>4</v>
      </c>
      <c r="C140" s="118">
        <v>0.001897538148646013</v>
      </c>
      <c r="D140" s="102" t="s">
        <v>3110</v>
      </c>
      <c r="E140" s="102" t="b">
        <v>0</v>
      </c>
      <c r="F140" s="102" t="b">
        <v>0</v>
      </c>
      <c r="G140" s="102" t="b">
        <v>0</v>
      </c>
    </row>
    <row r="141" spans="1:7" ht="15">
      <c r="A141" s="97" t="s">
        <v>2770</v>
      </c>
      <c r="B141" s="102">
        <v>4</v>
      </c>
      <c r="C141" s="118">
        <v>0.001897538148646013</v>
      </c>
      <c r="D141" s="102" t="s">
        <v>3110</v>
      </c>
      <c r="E141" s="102" t="b">
        <v>0</v>
      </c>
      <c r="F141" s="102" t="b">
        <v>0</v>
      </c>
      <c r="G141" s="102" t="b">
        <v>0</v>
      </c>
    </row>
    <row r="142" spans="1:7" ht="15">
      <c r="A142" s="97" t="s">
        <v>2771</v>
      </c>
      <c r="B142" s="102">
        <v>4</v>
      </c>
      <c r="C142" s="118">
        <v>0.001897538148646013</v>
      </c>
      <c r="D142" s="102" t="s">
        <v>3110</v>
      </c>
      <c r="E142" s="102" t="b">
        <v>0</v>
      </c>
      <c r="F142" s="102" t="b">
        <v>0</v>
      </c>
      <c r="G142" s="102" t="b">
        <v>0</v>
      </c>
    </row>
    <row r="143" spans="1:7" ht="15">
      <c r="A143" s="97" t="s">
        <v>2772</v>
      </c>
      <c r="B143" s="102">
        <v>4</v>
      </c>
      <c r="C143" s="118">
        <v>0.001897538148646013</v>
      </c>
      <c r="D143" s="102" t="s">
        <v>3110</v>
      </c>
      <c r="E143" s="102" t="b">
        <v>0</v>
      </c>
      <c r="F143" s="102" t="b">
        <v>0</v>
      </c>
      <c r="G143" s="102" t="b">
        <v>0</v>
      </c>
    </row>
    <row r="144" spans="1:7" ht="15">
      <c r="A144" s="97" t="s">
        <v>2773</v>
      </c>
      <c r="B144" s="102">
        <v>4</v>
      </c>
      <c r="C144" s="118">
        <v>0.001897538148646013</v>
      </c>
      <c r="D144" s="102" t="s">
        <v>3110</v>
      </c>
      <c r="E144" s="102" t="b">
        <v>0</v>
      </c>
      <c r="F144" s="102" t="b">
        <v>0</v>
      </c>
      <c r="G144" s="102" t="b">
        <v>0</v>
      </c>
    </row>
    <row r="145" spans="1:7" ht="15">
      <c r="A145" s="97" t="s">
        <v>2774</v>
      </c>
      <c r="B145" s="102">
        <v>4</v>
      </c>
      <c r="C145" s="118">
        <v>0.001897538148646013</v>
      </c>
      <c r="D145" s="102" t="s">
        <v>3110</v>
      </c>
      <c r="E145" s="102" t="b">
        <v>0</v>
      </c>
      <c r="F145" s="102" t="b">
        <v>0</v>
      </c>
      <c r="G145" s="102" t="b">
        <v>0</v>
      </c>
    </row>
    <row r="146" spans="1:7" ht="15">
      <c r="A146" s="97" t="s">
        <v>2775</v>
      </c>
      <c r="B146" s="102">
        <v>4</v>
      </c>
      <c r="C146" s="118">
        <v>0.001897538148646013</v>
      </c>
      <c r="D146" s="102" t="s">
        <v>3110</v>
      </c>
      <c r="E146" s="102" t="b">
        <v>0</v>
      </c>
      <c r="F146" s="102" t="b">
        <v>0</v>
      </c>
      <c r="G146" s="102" t="b">
        <v>0</v>
      </c>
    </row>
    <row r="147" spans="1:7" ht="15">
      <c r="A147" s="97" t="s">
        <v>449</v>
      </c>
      <c r="B147" s="102">
        <v>4</v>
      </c>
      <c r="C147" s="118">
        <v>0.001897538148646013</v>
      </c>
      <c r="D147" s="102" t="s">
        <v>3110</v>
      </c>
      <c r="E147" s="102" t="b">
        <v>0</v>
      </c>
      <c r="F147" s="102" t="b">
        <v>0</v>
      </c>
      <c r="G147" s="102" t="b">
        <v>0</v>
      </c>
    </row>
    <row r="148" spans="1:7" ht="15">
      <c r="A148" s="97" t="s">
        <v>447</v>
      </c>
      <c r="B148" s="102">
        <v>4</v>
      </c>
      <c r="C148" s="118">
        <v>0.001897538148646013</v>
      </c>
      <c r="D148" s="102" t="s">
        <v>3110</v>
      </c>
      <c r="E148" s="102" t="b">
        <v>0</v>
      </c>
      <c r="F148" s="102" t="b">
        <v>0</v>
      </c>
      <c r="G148" s="102" t="b">
        <v>0</v>
      </c>
    </row>
    <row r="149" spans="1:7" ht="15">
      <c r="A149" s="97" t="s">
        <v>2776</v>
      </c>
      <c r="B149" s="102">
        <v>4</v>
      </c>
      <c r="C149" s="118">
        <v>0.001897538148646013</v>
      </c>
      <c r="D149" s="102" t="s">
        <v>3110</v>
      </c>
      <c r="E149" s="102" t="b">
        <v>0</v>
      </c>
      <c r="F149" s="102" t="b">
        <v>0</v>
      </c>
      <c r="G149" s="102" t="b">
        <v>0</v>
      </c>
    </row>
    <row r="150" spans="1:7" ht="15">
      <c r="A150" s="97" t="s">
        <v>2777</v>
      </c>
      <c r="B150" s="102">
        <v>4</v>
      </c>
      <c r="C150" s="118">
        <v>0.001897538148646013</v>
      </c>
      <c r="D150" s="102" t="s">
        <v>3110</v>
      </c>
      <c r="E150" s="102" t="b">
        <v>0</v>
      </c>
      <c r="F150" s="102" t="b">
        <v>0</v>
      </c>
      <c r="G150" s="102" t="b">
        <v>0</v>
      </c>
    </row>
    <row r="151" spans="1:7" ht="15">
      <c r="A151" s="97" t="s">
        <v>2778</v>
      </c>
      <c r="B151" s="102">
        <v>4</v>
      </c>
      <c r="C151" s="118">
        <v>0.001897538148646013</v>
      </c>
      <c r="D151" s="102" t="s">
        <v>3110</v>
      </c>
      <c r="E151" s="102" t="b">
        <v>0</v>
      </c>
      <c r="F151" s="102" t="b">
        <v>0</v>
      </c>
      <c r="G151" s="102" t="b">
        <v>0</v>
      </c>
    </row>
    <row r="152" spans="1:7" ht="15">
      <c r="A152" s="97" t="s">
        <v>2779</v>
      </c>
      <c r="B152" s="102">
        <v>4</v>
      </c>
      <c r="C152" s="118">
        <v>0.002029295318810316</v>
      </c>
      <c r="D152" s="102" t="s">
        <v>3110</v>
      </c>
      <c r="E152" s="102" t="b">
        <v>0</v>
      </c>
      <c r="F152" s="102" t="b">
        <v>0</v>
      </c>
      <c r="G152" s="102" t="b">
        <v>0</v>
      </c>
    </row>
    <row r="153" spans="1:7" ht="15">
      <c r="A153" s="97" t="s">
        <v>2780</v>
      </c>
      <c r="B153" s="102">
        <v>4</v>
      </c>
      <c r="C153" s="118">
        <v>0.001897538148646013</v>
      </c>
      <c r="D153" s="102" t="s">
        <v>3110</v>
      </c>
      <c r="E153" s="102" t="b">
        <v>0</v>
      </c>
      <c r="F153" s="102" t="b">
        <v>0</v>
      </c>
      <c r="G153" s="102" t="b">
        <v>0</v>
      </c>
    </row>
    <row r="154" spans="1:7" ht="15">
      <c r="A154" s="97" t="s">
        <v>2781</v>
      </c>
      <c r="B154" s="102">
        <v>4</v>
      </c>
      <c r="C154" s="118">
        <v>0.001897538148646013</v>
      </c>
      <c r="D154" s="102" t="s">
        <v>3110</v>
      </c>
      <c r="E154" s="102" t="b">
        <v>0</v>
      </c>
      <c r="F154" s="102" t="b">
        <v>0</v>
      </c>
      <c r="G154" s="102" t="b">
        <v>0</v>
      </c>
    </row>
    <row r="155" spans="1:7" ht="15">
      <c r="A155" s="97" t="s">
        <v>2782</v>
      </c>
      <c r="B155" s="102">
        <v>4</v>
      </c>
      <c r="C155" s="118">
        <v>0.001897538148646013</v>
      </c>
      <c r="D155" s="102" t="s">
        <v>3110</v>
      </c>
      <c r="E155" s="102" t="b">
        <v>0</v>
      </c>
      <c r="F155" s="102" t="b">
        <v>0</v>
      </c>
      <c r="G155" s="102" t="b">
        <v>0</v>
      </c>
    </row>
    <row r="156" spans="1:7" ht="15">
      <c r="A156" s="97" t="s">
        <v>2783</v>
      </c>
      <c r="B156" s="102">
        <v>4</v>
      </c>
      <c r="C156" s="118">
        <v>0.001897538148646013</v>
      </c>
      <c r="D156" s="102" t="s">
        <v>3110</v>
      </c>
      <c r="E156" s="102" t="b">
        <v>0</v>
      </c>
      <c r="F156" s="102" t="b">
        <v>0</v>
      </c>
      <c r="G156" s="102" t="b">
        <v>0</v>
      </c>
    </row>
    <row r="157" spans="1:7" ht="15">
      <c r="A157" s="97" t="s">
        <v>2784</v>
      </c>
      <c r="B157" s="102">
        <v>4</v>
      </c>
      <c r="C157" s="118">
        <v>0.001897538148646013</v>
      </c>
      <c r="D157" s="102" t="s">
        <v>3110</v>
      </c>
      <c r="E157" s="102" t="b">
        <v>0</v>
      </c>
      <c r="F157" s="102" t="b">
        <v>0</v>
      </c>
      <c r="G157" s="102" t="b">
        <v>0</v>
      </c>
    </row>
    <row r="158" spans="1:7" ht="15">
      <c r="A158" s="97" t="s">
        <v>2785</v>
      </c>
      <c r="B158" s="102">
        <v>4</v>
      </c>
      <c r="C158" s="118">
        <v>0.001897538148646013</v>
      </c>
      <c r="D158" s="102" t="s">
        <v>3110</v>
      </c>
      <c r="E158" s="102" t="b">
        <v>0</v>
      </c>
      <c r="F158" s="102" t="b">
        <v>0</v>
      </c>
      <c r="G158" s="102" t="b">
        <v>0</v>
      </c>
    </row>
    <row r="159" spans="1:7" ht="15">
      <c r="A159" s="97" t="s">
        <v>2786</v>
      </c>
      <c r="B159" s="102">
        <v>4</v>
      </c>
      <c r="C159" s="118">
        <v>0.001897538148646013</v>
      </c>
      <c r="D159" s="102" t="s">
        <v>3110</v>
      </c>
      <c r="E159" s="102" t="b">
        <v>0</v>
      </c>
      <c r="F159" s="102" t="b">
        <v>0</v>
      </c>
      <c r="G159" s="102" t="b">
        <v>0</v>
      </c>
    </row>
    <row r="160" spans="1:7" ht="15">
      <c r="A160" s="97" t="s">
        <v>2787</v>
      </c>
      <c r="B160" s="102">
        <v>4</v>
      </c>
      <c r="C160" s="118">
        <v>0.001897538148646013</v>
      </c>
      <c r="D160" s="102" t="s">
        <v>3110</v>
      </c>
      <c r="E160" s="102" t="b">
        <v>0</v>
      </c>
      <c r="F160" s="102" t="b">
        <v>0</v>
      </c>
      <c r="G160" s="102" t="b">
        <v>0</v>
      </c>
    </row>
    <row r="161" spans="1:7" ht="15">
      <c r="A161" s="97" t="s">
        <v>2788</v>
      </c>
      <c r="B161" s="102">
        <v>4</v>
      </c>
      <c r="C161" s="118">
        <v>0.001897538148646013</v>
      </c>
      <c r="D161" s="102" t="s">
        <v>3110</v>
      </c>
      <c r="E161" s="102" t="b">
        <v>0</v>
      </c>
      <c r="F161" s="102" t="b">
        <v>0</v>
      </c>
      <c r="G161" s="102" t="b">
        <v>0</v>
      </c>
    </row>
    <row r="162" spans="1:7" ht="15">
      <c r="A162" s="97" t="s">
        <v>2789</v>
      </c>
      <c r="B162" s="102">
        <v>4</v>
      </c>
      <c r="C162" s="118">
        <v>0.001897538148646013</v>
      </c>
      <c r="D162" s="102" t="s">
        <v>3110</v>
      </c>
      <c r="E162" s="102" t="b">
        <v>0</v>
      </c>
      <c r="F162" s="102" t="b">
        <v>0</v>
      </c>
      <c r="G162" s="102" t="b">
        <v>0</v>
      </c>
    </row>
    <row r="163" spans="1:7" ht="15">
      <c r="A163" s="97" t="s">
        <v>2790</v>
      </c>
      <c r="B163" s="102">
        <v>4</v>
      </c>
      <c r="C163" s="118">
        <v>0.001897538148646013</v>
      </c>
      <c r="D163" s="102" t="s">
        <v>3110</v>
      </c>
      <c r="E163" s="102" t="b">
        <v>0</v>
      </c>
      <c r="F163" s="102" t="b">
        <v>0</v>
      </c>
      <c r="G163" s="102" t="b">
        <v>0</v>
      </c>
    </row>
    <row r="164" spans="1:7" ht="15">
      <c r="A164" s="97" t="s">
        <v>2791</v>
      </c>
      <c r="B164" s="102">
        <v>4</v>
      </c>
      <c r="C164" s="118">
        <v>0.001897538148646013</v>
      </c>
      <c r="D164" s="102" t="s">
        <v>3110</v>
      </c>
      <c r="E164" s="102" t="b">
        <v>0</v>
      </c>
      <c r="F164" s="102" t="b">
        <v>0</v>
      </c>
      <c r="G164" s="102" t="b">
        <v>0</v>
      </c>
    </row>
    <row r="165" spans="1:7" ht="15">
      <c r="A165" s="97" t="s">
        <v>2792</v>
      </c>
      <c r="B165" s="102">
        <v>4</v>
      </c>
      <c r="C165" s="118">
        <v>0.001897538148646013</v>
      </c>
      <c r="D165" s="102" t="s">
        <v>3110</v>
      </c>
      <c r="E165" s="102" t="b">
        <v>0</v>
      </c>
      <c r="F165" s="102" t="b">
        <v>0</v>
      </c>
      <c r="G165" s="102" t="b">
        <v>0</v>
      </c>
    </row>
    <row r="166" spans="1:7" ht="15">
      <c r="A166" s="97" t="s">
        <v>2793</v>
      </c>
      <c r="B166" s="102">
        <v>4</v>
      </c>
      <c r="C166" s="118">
        <v>0.001897538148646013</v>
      </c>
      <c r="D166" s="102" t="s">
        <v>3110</v>
      </c>
      <c r="E166" s="102" t="b">
        <v>0</v>
      </c>
      <c r="F166" s="102" t="b">
        <v>0</v>
      </c>
      <c r="G166" s="102" t="b">
        <v>0</v>
      </c>
    </row>
    <row r="167" spans="1:7" ht="15">
      <c r="A167" s="97" t="s">
        <v>2794</v>
      </c>
      <c r="B167" s="102">
        <v>4</v>
      </c>
      <c r="C167" s="118">
        <v>0.001897538148646013</v>
      </c>
      <c r="D167" s="102" t="s">
        <v>3110</v>
      </c>
      <c r="E167" s="102" t="b">
        <v>0</v>
      </c>
      <c r="F167" s="102" t="b">
        <v>0</v>
      </c>
      <c r="G167" s="102" t="b">
        <v>0</v>
      </c>
    </row>
    <row r="168" spans="1:7" ht="15">
      <c r="A168" s="97" t="s">
        <v>2795</v>
      </c>
      <c r="B168" s="102">
        <v>4</v>
      </c>
      <c r="C168" s="118">
        <v>0.001897538148646013</v>
      </c>
      <c r="D168" s="102" t="s">
        <v>3110</v>
      </c>
      <c r="E168" s="102" t="b">
        <v>0</v>
      </c>
      <c r="F168" s="102" t="b">
        <v>0</v>
      </c>
      <c r="G168" s="102" t="b">
        <v>0</v>
      </c>
    </row>
    <row r="169" spans="1:7" ht="15">
      <c r="A169" s="97" t="s">
        <v>2796</v>
      </c>
      <c r="B169" s="102">
        <v>4</v>
      </c>
      <c r="C169" s="118">
        <v>0.001897538148646013</v>
      </c>
      <c r="D169" s="102" t="s">
        <v>3110</v>
      </c>
      <c r="E169" s="102" t="b">
        <v>0</v>
      </c>
      <c r="F169" s="102" t="b">
        <v>0</v>
      </c>
      <c r="G169" s="102" t="b">
        <v>0</v>
      </c>
    </row>
    <row r="170" spans="1:7" ht="15">
      <c r="A170" s="97" t="s">
        <v>2797</v>
      </c>
      <c r="B170" s="102">
        <v>4</v>
      </c>
      <c r="C170" s="118">
        <v>0.001897538148646013</v>
      </c>
      <c r="D170" s="102" t="s">
        <v>3110</v>
      </c>
      <c r="E170" s="102" t="b">
        <v>0</v>
      </c>
      <c r="F170" s="102" t="b">
        <v>0</v>
      </c>
      <c r="G170" s="102" t="b">
        <v>0</v>
      </c>
    </row>
    <row r="171" spans="1:7" ht="15">
      <c r="A171" s="97" t="s">
        <v>2798</v>
      </c>
      <c r="B171" s="102">
        <v>4</v>
      </c>
      <c r="C171" s="118">
        <v>0.001897538148646013</v>
      </c>
      <c r="D171" s="102" t="s">
        <v>3110</v>
      </c>
      <c r="E171" s="102" t="b">
        <v>0</v>
      </c>
      <c r="F171" s="102" t="b">
        <v>0</v>
      </c>
      <c r="G171" s="102" t="b">
        <v>0</v>
      </c>
    </row>
    <row r="172" spans="1:7" ht="15">
      <c r="A172" s="97" t="s">
        <v>2799</v>
      </c>
      <c r="B172" s="102">
        <v>4</v>
      </c>
      <c r="C172" s="118">
        <v>0.001897538148646013</v>
      </c>
      <c r="D172" s="102" t="s">
        <v>3110</v>
      </c>
      <c r="E172" s="102" t="b">
        <v>0</v>
      </c>
      <c r="F172" s="102" t="b">
        <v>0</v>
      </c>
      <c r="G172" s="102" t="b">
        <v>0</v>
      </c>
    </row>
    <row r="173" spans="1:7" ht="15">
      <c r="A173" s="97" t="s">
        <v>2800</v>
      </c>
      <c r="B173" s="102">
        <v>4</v>
      </c>
      <c r="C173" s="118">
        <v>0.001897538148646013</v>
      </c>
      <c r="D173" s="102" t="s">
        <v>3110</v>
      </c>
      <c r="E173" s="102" t="b">
        <v>0</v>
      </c>
      <c r="F173" s="102" t="b">
        <v>0</v>
      </c>
      <c r="G173" s="102" t="b">
        <v>0</v>
      </c>
    </row>
    <row r="174" spans="1:7" ht="15">
      <c r="A174" s="97" t="s">
        <v>2801</v>
      </c>
      <c r="B174" s="102">
        <v>4</v>
      </c>
      <c r="C174" s="118">
        <v>0.001897538148646013</v>
      </c>
      <c r="D174" s="102" t="s">
        <v>3110</v>
      </c>
      <c r="E174" s="102" t="b">
        <v>0</v>
      </c>
      <c r="F174" s="102" t="b">
        <v>0</v>
      </c>
      <c r="G174" s="102" t="b">
        <v>0</v>
      </c>
    </row>
    <row r="175" spans="1:7" ht="15">
      <c r="A175" s="97" t="s">
        <v>2802</v>
      </c>
      <c r="B175" s="102">
        <v>4</v>
      </c>
      <c r="C175" s="118">
        <v>0.001897538148646013</v>
      </c>
      <c r="D175" s="102" t="s">
        <v>3110</v>
      </c>
      <c r="E175" s="102" t="b">
        <v>0</v>
      </c>
      <c r="F175" s="102" t="b">
        <v>0</v>
      </c>
      <c r="G175" s="102" t="b">
        <v>0</v>
      </c>
    </row>
    <row r="176" spans="1:7" ht="15">
      <c r="A176" s="97" t="s">
        <v>2803</v>
      </c>
      <c r="B176" s="102">
        <v>4</v>
      </c>
      <c r="C176" s="118">
        <v>0.001897538148646013</v>
      </c>
      <c r="D176" s="102" t="s">
        <v>3110</v>
      </c>
      <c r="E176" s="102" t="b">
        <v>0</v>
      </c>
      <c r="F176" s="102" t="b">
        <v>0</v>
      </c>
      <c r="G176" s="102" t="b">
        <v>0</v>
      </c>
    </row>
    <row r="177" spans="1:7" ht="15">
      <c r="A177" s="97" t="s">
        <v>2804</v>
      </c>
      <c r="B177" s="102">
        <v>4</v>
      </c>
      <c r="C177" s="118">
        <v>0.001897538148646013</v>
      </c>
      <c r="D177" s="102" t="s">
        <v>3110</v>
      </c>
      <c r="E177" s="102" t="b">
        <v>0</v>
      </c>
      <c r="F177" s="102" t="b">
        <v>0</v>
      </c>
      <c r="G177" s="102" t="b">
        <v>0</v>
      </c>
    </row>
    <row r="178" spans="1:7" ht="15">
      <c r="A178" s="97" t="s">
        <v>2805</v>
      </c>
      <c r="B178" s="102">
        <v>4</v>
      </c>
      <c r="C178" s="118">
        <v>0.001897538148646013</v>
      </c>
      <c r="D178" s="102" t="s">
        <v>3110</v>
      </c>
      <c r="E178" s="102" t="b">
        <v>0</v>
      </c>
      <c r="F178" s="102" t="b">
        <v>0</v>
      </c>
      <c r="G178" s="102" t="b">
        <v>0</v>
      </c>
    </row>
    <row r="179" spans="1:7" ht="15">
      <c r="A179" s="97" t="s">
        <v>2806</v>
      </c>
      <c r="B179" s="102">
        <v>4</v>
      </c>
      <c r="C179" s="118">
        <v>0.001897538148646013</v>
      </c>
      <c r="D179" s="102" t="s">
        <v>3110</v>
      </c>
      <c r="E179" s="102" t="b">
        <v>0</v>
      </c>
      <c r="F179" s="102" t="b">
        <v>0</v>
      </c>
      <c r="G179" s="102" t="b">
        <v>0</v>
      </c>
    </row>
    <row r="180" spans="1:7" ht="15">
      <c r="A180" s="97" t="s">
        <v>420</v>
      </c>
      <c r="B180" s="102">
        <v>4</v>
      </c>
      <c r="C180" s="118">
        <v>0.001897538148646013</v>
      </c>
      <c r="D180" s="102" t="s">
        <v>3110</v>
      </c>
      <c r="E180" s="102" t="b">
        <v>0</v>
      </c>
      <c r="F180" s="102" t="b">
        <v>0</v>
      </c>
      <c r="G180" s="102" t="b">
        <v>0</v>
      </c>
    </row>
    <row r="181" spans="1:7" ht="15">
      <c r="A181" s="97" t="s">
        <v>2807</v>
      </c>
      <c r="B181" s="102">
        <v>4</v>
      </c>
      <c r="C181" s="118">
        <v>0.002029295318810316</v>
      </c>
      <c r="D181" s="102" t="s">
        <v>3110</v>
      </c>
      <c r="E181" s="102" t="b">
        <v>0</v>
      </c>
      <c r="F181" s="102" t="b">
        <v>0</v>
      </c>
      <c r="G181" s="102" t="b">
        <v>0</v>
      </c>
    </row>
    <row r="182" spans="1:7" ht="15">
      <c r="A182" s="97" t="s">
        <v>2808</v>
      </c>
      <c r="B182" s="102">
        <v>4</v>
      </c>
      <c r="C182" s="118">
        <v>0.001897538148646013</v>
      </c>
      <c r="D182" s="102" t="s">
        <v>3110</v>
      </c>
      <c r="E182" s="102" t="b">
        <v>0</v>
      </c>
      <c r="F182" s="102" t="b">
        <v>0</v>
      </c>
      <c r="G182" s="102" t="b">
        <v>0</v>
      </c>
    </row>
    <row r="183" spans="1:7" ht="15">
      <c r="A183" s="97" t="s">
        <v>400</v>
      </c>
      <c r="B183" s="102">
        <v>4</v>
      </c>
      <c r="C183" s="118">
        <v>0.001897538148646013</v>
      </c>
      <c r="D183" s="102" t="s">
        <v>3110</v>
      </c>
      <c r="E183" s="102" t="b">
        <v>0</v>
      </c>
      <c r="F183" s="102" t="b">
        <v>0</v>
      </c>
      <c r="G183" s="102" t="b">
        <v>0</v>
      </c>
    </row>
    <row r="184" spans="1:7" ht="15">
      <c r="A184" s="97" t="s">
        <v>2809</v>
      </c>
      <c r="B184" s="102">
        <v>4</v>
      </c>
      <c r="C184" s="118">
        <v>0.001897538148646013</v>
      </c>
      <c r="D184" s="102" t="s">
        <v>3110</v>
      </c>
      <c r="E184" s="102" t="b">
        <v>0</v>
      </c>
      <c r="F184" s="102" t="b">
        <v>0</v>
      </c>
      <c r="G184" s="102" t="b">
        <v>0</v>
      </c>
    </row>
    <row r="185" spans="1:7" ht="15">
      <c r="A185" s="97" t="s">
        <v>398</v>
      </c>
      <c r="B185" s="102">
        <v>4</v>
      </c>
      <c r="C185" s="118">
        <v>0.001897538148646013</v>
      </c>
      <c r="D185" s="102" t="s">
        <v>3110</v>
      </c>
      <c r="E185" s="102" t="b">
        <v>0</v>
      </c>
      <c r="F185" s="102" t="b">
        <v>0</v>
      </c>
      <c r="G185" s="102" t="b">
        <v>0</v>
      </c>
    </row>
    <row r="186" spans="1:7" ht="15">
      <c r="A186" s="97" t="s">
        <v>396</v>
      </c>
      <c r="B186" s="102">
        <v>4</v>
      </c>
      <c r="C186" s="118">
        <v>0.001897538148646013</v>
      </c>
      <c r="D186" s="102" t="s">
        <v>3110</v>
      </c>
      <c r="E186" s="102" t="b">
        <v>0</v>
      </c>
      <c r="F186" s="102" t="b">
        <v>0</v>
      </c>
      <c r="G186" s="102" t="b">
        <v>0</v>
      </c>
    </row>
    <row r="187" spans="1:7" ht="15">
      <c r="A187" s="97" t="s">
        <v>271</v>
      </c>
      <c r="B187" s="102">
        <v>4</v>
      </c>
      <c r="C187" s="118">
        <v>0.001897538148646013</v>
      </c>
      <c r="D187" s="102" t="s">
        <v>3110</v>
      </c>
      <c r="E187" s="102" t="b">
        <v>0</v>
      </c>
      <c r="F187" s="102" t="b">
        <v>0</v>
      </c>
      <c r="G187" s="102" t="b">
        <v>0</v>
      </c>
    </row>
    <row r="188" spans="1:7" ht="15">
      <c r="A188" s="97" t="s">
        <v>2810</v>
      </c>
      <c r="B188" s="102">
        <v>4</v>
      </c>
      <c r="C188" s="118">
        <v>0.0022149966202136178</v>
      </c>
      <c r="D188" s="102" t="s">
        <v>3110</v>
      </c>
      <c r="E188" s="102" t="b">
        <v>0</v>
      </c>
      <c r="F188" s="102" t="b">
        <v>0</v>
      </c>
      <c r="G188" s="102" t="b">
        <v>0</v>
      </c>
    </row>
    <row r="189" spans="1:7" ht="15">
      <c r="A189" s="97" t="s">
        <v>2811</v>
      </c>
      <c r="B189" s="102">
        <v>3</v>
      </c>
      <c r="C189" s="118">
        <v>0.0016612474651602133</v>
      </c>
      <c r="D189" s="102" t="s">
        <v>3110</v>
      </c>
      <c r="E189" s="102" t="b">
        <v>0</v>
      </c>
      <c r="F189" s="102" t="b">
        <v>0</v>
      </c>
      <c r="G189" s="102" t="b">
        <v>0</v>
      </c>
    </row>
    <row r="190" spans="1:7" ht="15">
      <c r="A190" s="97" t="s">
        <v>2812</v>
      </c>
      <c r="B190" s="102">
        <v>3</v>
      </c>
      <c r="C190" s="118">
        <v>0.0015219714891077365</v>
      </c>
      <c r="D190" s="102" t="s">
        <v>3110</v>
      </c>
      <c r="E190" s="102" t="b">
        <v>0</v>
      </c>
      <c r="F190" s="102" t="b">
        <v>0</v>
      </c>
      <c r="G190" s="102" t="b">
        <v>0</v>
      </c>
    </row>
    <row r="191" spans="1:7" ht="15">
      <c r="A191" s="97" t="s">
        <v>2813</v>
      </c>
      <c r="B191" s="102">
        <v>3</v>
      </c>
      <c r="C191" s="118">
        <v>0.0016612474651602133</v>
      </c>
      <c r="D191" s="102" t="s">
        <v>3110</v>
      </c>
      <c r="E191" s="102" t="b">
        <v>0</v>
      </c>
      <c r="F191" s="102" t="b">
        <v>0</v>
      </c>
      <c r="G191" s="102" t="b">
        <v>0</v>
      </c>
    </row>
    <row r="192" spans="1:7" ht="15">
      <c r="A192" s="97" t="s">
        <v>2814</v>
      </c>
      <c r="B192" s="102">
        <v>3</v>
      </c>
      <c r="C192" s="118">
        <v>0.0015219714891077365</v>
      </c>
      <c r="D192" s="102" t="s">
        <v>3110</v>
      </c>
      <c r="E192" s="102" t="b">
        <v>0</v>
      </c>
      <c r="F192" s="102" t="b">
        <v>0</v>
      </c>
      <c r="G192" s="102" t="b">
        <v>0</v>
      </c>
    </row>
    <row r="193" spans="1:7" ht="15">
      <c r="A193" s="97" t="s">
        <v>2815</v>
      </c>
      <c r="B193" s="102">
        <v>3</v>
      </c>
      <c r="C193" s="118">
        <v>0.0016612474651602133</v>
      </c>
      <c r="D193" s="102" t="s">
        <v>3110</v>
      </c>
      <c r="E193" s="102" t="b">
        <v>0</v>
      </c>
      <c r="F193" s="102" t="b">
        <v>0</v>
      </c>
      <c r="G193" s="102" t="b">
        <v>0</v>
      </c>
    </row>
    <row r="194" spans="1:7" ht="15">
      <c r="A194" s="97" t="s">
        <v>2816</v>
      </c>
      <c r="B194" s="102">
        <v>3</v>
      </c>
      <c r="C194" s="118">
        <v>0.0015219714891077365</v>
      </c>
      <c r="D194" s="102" t="s">
        <v>3110</v>
      </c>
      <c r="E194" s="102" t="b">
        <v>0</v>
      </c>
      <c r="F194" s="102" t="b">
        <v>0</v>
      </c>
      <c r="G194" s="102" t="b">
        <v>0</v>
      </c>
    </row>
    <row r="195" spans="1:7" ht="15">
      <c r="A195" s="97" t="s">
        <v>429</v>
      </c>
      <c r="B195" s="102">
        <v>3</v>
      </c>
      <c r="C195" s="118">
        <v>0.0015219714891077365</v>
      </c>
      <c r="D195" s="102" t="s">
        <v>3110</v>
      </c>
      <c r="E195" s="102" t="b">
        <v>0</v>
      </c>
      <c r="F195" s="102" t="b">
        <v>0</v>
      </c>
      <c r="G195" s="102" t="b">
        <v>0</v>
      </c>
    </row>
    <row r="196" spans="1:7" ht="15">
      <c r="A196" s="97" t="s">
        <v>2817</v>
      </c>
      <c r="B196" s="102">
        <v>3</v>
      </c>
      <c r="C196" s="118">
        <v>0.0015219714891077365</v>
      </c>
      <c r="D196" s="102" t="s">
        <v>3110</v>
      </c>
      <c r="E196" s="102" t="b">
        <v>0</v>
      </c>
      <c r="F196" s="102" t="b">
        <v>0</v>
      </c>
      <c r="G196" s="102" t="b">
        <v>0</v>
      </c>
    </row>
    <row r="197" spans="1:7" ht="15">
      <c r="A197" s="97" t="s">
        <v>2818</v>
      </c>
      <c r="B197" s="102">
        <v>3</v>
      </c>
      <c r="C197" s="118">
        <v>0.0015219714891077365</v>
      </c>
      <c r="D197" s="102" t="s">
        <v>3110</v>
      </c>
      <c r="E197" s="102" t="b">
        <v>0</v>
      </c>
      <c r="F197" s="102" t="b">
        <v>0</v>
      </c>
      <c r="G197" s="102" t="b">
        <v>0</v>
      </c>
    </row>
    <row r="198" spans="1:7" ht="15">
      <c r="A198" s="97" t="s">
        <v>2819</v>
      </c>
      <c r="B198" s="102">
        <v>3</v>
      </c>
      <c r="C198" s="118">
        <v>0.0015219714891077365</v>
      </c>
      <c r="D198" s="102" t="s">
        <v>3110</v>
      </c>
      <c r="E198" s="102" t="b">
        <v>0</v>
      </c>
      <c r="F198" s="102" t="b">
        <v>0</v>
      </c>
      <c r="G198" s="102" t="b">
        <v>0</v>
      </c>
    </row>
    <row r="199" spans="1:7" ht="15">
      <c r="A199" s="97" t="s">
        <v>2820</v>
      </c>
      <c r="B199" s="102">
        <v>3</v>
      </c>
      <c r="C199" s="118">
        <v>0.0015219714891077365</v>
      </c>
      <c r="D199" s="102" t="s">
        <v>3110</v>
      </c>
      <c r="E199" s="102" t="b">
        <v>0</v>
      </c>
      <c r="F199" s="102" t="b">
        <v>0</v>
      </c>
      <c r="G199" s="102" t="b">
        <v>0</v>
      </c>
    </row>
    <row r="200" spans="1:7" ht="15">
      <c r="A200" s="97" t="s">
        <v>2821</v>
      </c>
      <c r="B200" s="102">
        <v>3</v>
      </c>
      <c r="C200" s="118">
        <v>0.0015219714891077365</v>
      </c>
      <c r="D200" s="102" t="s">
        <v>3110</v>
      </c>
      <c r="E200" s="102" t="b">
        <v>0</v>
      </c>
      <c r="F200" s="102" t="b">
        <v>0</v>
      </c>
      <c r="G200" s="102" t="b">
        <v>0</v>
      </c>
    </row>
    <row r="201" spans="1:7" ht="15">
      <c r="A201" s="97" t="s">
        <v>2822</v>
      </c>
      <c r="B201" s="102">
        <v>3</v>
      </c>
      <c r="C201" s="118">
        <v>0.0015219714891077365</v>
      </c>
      <c r="D201" s="102" t="s">
        <v>3110</v>
      </c>
      <c r="E201" s="102" t="b">
        <v>0</v>
      </c>
      <c r="F201" s="102" t="b">
        <v>0</v>
      </c>
      <c r="G201" s="102" t="b">
        <v>0</v>
      </c>
    </row>
    <row r="202" spans="1:7" ht="15">
      <c r="A202" s="97" t="s">
        <v>2823</v>
      </c>
      <c r="B202" s="102">
        <v>3</v>
      </c>
      <c r="C202" s="118">
        <v>0.0015219714891077365</v>
      </c>
      <c r="D202" s="102" t="s">
        <v>3110</v>
      </c>
      <c r="E202" s="102" t="b">
        <v>0</v>
      </c>
      <c r="F202" s="102" t="b">
        <v>0</v>
      </c>
      <c r="G202" s="102" t="b">
        <v>0</v>
      </c>
    </row>
    <row r="203" spans="1:7" ht="15">
      <c r="A203" s="97" t="s">
        <v>2824</v>
      </c>
      <c r="B203" s="102">
        <v>3</v>
      </c>
      <c r="C203" s="118">
        <v>0.0015219714891077365</v>
      </c>
      <c r="D203" s="102" t="s">
        <v>3110</v>
      </c>
      <c r="E203" s="102" t="b">
        <v>0</v>
      </c>
      <c r="F203" s="102" t="b">
        <v>0</v>
      </c>
      <c r="G203" s="102" t="b">
        <v>0</v>
      </c>
    </row>
    <row r="204" spans="1:7" ht="15">
      <c r="A204" s="97" t="s">
        <v>2825</v>
      </c>
      <c r="B204" s="102">
        <v>3</v>
      </c>
      <c r="C204" s="118">
        <v>0.0015219714891077365</v>
      </c>
      <c r="D204" s="102" t="s">
        <v>3110</v>
      </c>
      <c r="E204" s="102" t="b">
        <v>0</v>
      </c>
      <c r="F204" s="102" t="b">
        <v>0</v>
      </c>
      <c r="G204" s="102" t="b">
        <v>0</v>
      </c>
    </row>
    <row r="205" spans="1:7" ht="15">
      <c r="A205" s="97" t="s">
        <v>2826</v>
      </c>
      <c r="B205" s="102">
        <v>3</v>
      </c>
      <c r="C205" s="118">
        <v>0.0015219714891077365</v>
      </c>
      <c r="D205" s="102" t="s">
        <v>3110</v>
      </c>
      <c r="E205" s="102" t="b">
        <v>0</v>
      </c>
      <c r="F205" s="102" t="b">
        <v>0</v>
      </c>
      <c r="G205" s="102" t="b">
        <v>0</v>
      </c>
    </row>
    <row r="206" spans="1:7" ht="15">
      <c r="A206" s="97" t="s">
        <v>2827</v>
      </c>
      <c r="B206" s="102">
        <v>3</v>
      </c>
      <c r="C206" s="118">
        <v>0.0015219714891077365</v>
      </c>
      <c r="D206" s="102" t="s">
        <v>3110</v>
      </c>
      <c r="E206" s="102" t="b">
        <v>0</v>
      </c>
      <c r="F206" s="102" t="b">
        <v>0</v>
      </c>
      <c r="G206" s="102" t="b">
        <v>0</v>
      </c>
    </row>
    <row r="207" spans="1:7" ht="15">
      <c r="A207" s="97" t="s">
        <v>2828</v>
      </c>
      <c r="B207" s="102">
        <v>3</v>
      </c>
      <c r="C207" s="118">
        <v>0.0015219714891077365</v>
      </c>
      <c r="D207" s="102" t="s">
        <v>3110</v>
      </c>
      <c r="E207" s="102" t="b">
        <v>0</v>
      </c>
      <c r="F207" s="102" t="b">
        <v>0</v>
      </c>
      <c r="G207" s="102" t="b">
        <v>0</v>
      </c>
    </row>
    <row r="208" spans="1:7" ht="15">
      <c r="A208" s="97" t="s">
        <v>2829</v>
      </c>
      <c r="B208" s="102">
        <v>3</v>
      </c>
      <c r="C208" s="118">
        <v>0.0015219714891077365</v>
      </c>
      <c r="D208" s="102" t="s">
        <v>3110</v>
      </c>
      <c r="E208" s="102" t="b">
        <v>0</v>
      </c>
      <c r="F208" s="102" t="b">
        <v>0</v>
      </c>
      <c r="G208" s="102" t="b">
        <v>0</v>
      </c>
    </row>
    <row r="209" spans="1:7" ht="15">
      <c r="A209" s="97" t="s">
        <v>2830</v>
      </c>
      <c r="B209" s="102">
        <v>3</v>
      </c>
      <c r="C209" s="118">
        <v>0.0015219714891077365</v>
      </c>
      <c r="D209" s="102" t="s">
        <v>3110</v>
      </c>
      <c r="E209" s="102" t="b">
        <v>0</v>
      </c>
      <c r="F209" s="102" t="b">
        <v>0</v>
      </c>
      <c r="G209" s="102" t="b">
        <v>0</v>
      </c>
    </row>
    <row r="210" spans="1:7" ht="15">
      <c r="A210" s="97" t="s">
        <v>2831</v>
      </c>
      <c r="B210" s="102">
        <v>3</v>
      </c>
      <c r="C210" s="118">
        <v>0.0015219714891077365</v>
      </c>
      <c r="D210" s="102" t="s">
        <v>3110</v>
      </c>
      <c r="E210" s="102" t="b">
        <v>0</v>
      </c>
      <c r="F210" s="102" t="b">
        <v>0</v>
      </c>
      <c r="G210" s="102" t="b">
        <v>0</v>
      </c>
    </row>
    <row r="211" spans="1:7" ht="15">
      <c r="A211" s="97" t="s">
        <v>2832</v>
      </c>
      <c r="B211" s="102">
        <v>3</v>
      </c>
      <c r="C211" s="118">
        <v>0.0015219714891077365</v>
      </c>
      <c r="D211" s="102" t="s">
        <v>3110</v>
      </c>
      <c r="E211" s="102" t="b">
        <v>0</v>
      </c>
      <c r="F211" s="102" t="b">
        <v>0</v>
      </c>
      <c r="G211" s="102" t="b">
        <v>0</v>
      </c>
    </row>
    <row r="212" spans="1:7" ht="15">
      <c r="A212" s="97" t="s">
        <v>2833</v>
      </c>
      <c r="B212" s="102">
        <v>3</v>
      </c>
      <c r="C212" s="118">
        <v>0.0015219714891077365</v>
      </c>
      <c r="D212" s="102" t="s">
        <v>3110</v>
      </c>
      <c r="E212" s="102" t="b">
        <v>0</v>
      </c>
      <c r="F212" s="102" t="b">
        <v>0</v>
      </c>
      <c r="G212" s="102" t="b">
        <v>0</v>
      </c>
    </row>
    <row r="213" spans="1:7" ht="15">
      <c r="A213" s="97" t="s">
        <v>2834</v>
      </c>
      <c r="B213" s="102">
        <v>3</v>
      </c>
      <c r="C213" s="118">
        <v>0.0015219714891077365</v>
      </c>
      <c r="D213" s="102" t="s">
        <v>3110</v>
      </c>
      <c r="E213" s="102" t="b">
        <v>0</v>
      </c>
      <c r="F213" s="102" t="b">
        <v>0</v>
      </c>
      <c r="G213" s="102" t="b">
        <v>0</v>
      </c>
    </row>
    <row r="214" spans="1:7" ht="15">
      <c r="A214" s="97" t="s">
        <v>368</v>
      </c>
      <c r="B214" s="102">
        <v>3</v>
      </c>
      <c r="C214" s="118">
        <v>0.0015219714891077365</v>
      </c>
      <c r="D214" s="102" t="s">
        <v>3110</v>
      </c>
      <c r="E214" s="102" t="b">
        <v>0</v>
      </c>
      <c r="F214" s="102" t="b">
        <v>0</v>
      </c>
      <c r="G214" s="102" t="b">
        <v>0</v>
      </c>
    </row>
    <row r="215" spans="1:7" ht="15">
      <c r="A215" s="97" t="s">
        <v>2835</v>
      </c>
      <c r="B215" s="102">
        <v>3</v>
      </c>
      <c r="C215" s="118">
        <v>0.0015219714891077365</v>
      </c>
      <c r="D215" s="102" t="s">
        <v>3110</v>
      </c>
      <c r="E215" s="102" t="b">
        <v>0</v>
      </c>
      <c r="F215" s="102" t="b">
        <v>0</v>
      </c>
      <c r="G215" s="102" t="b">
        <v>0</v>
      </c>
    </row>
    <row r="216" spans="1:7" ht="15">
      <c r="A216" s="97" t="s">
        <v>2836</v>
      </c>
      <c r="B216" s="102">
        <v>3</v>
      </c>
      <c r="C216" s="118">
        <v>0.0015219714891077365</v>
      </c>
      <c r="D216" s="102" t="s">
        <v>3110</v>
      </c>
      <c r="E216" s="102" t="b">
        <v>0</v>
      </c>
      <c r="F216" s="102" t="b">
        <v>0</v>
      </c>
      <c r="G216" s="102" t="b">
        <v>0</v>
      </c>
    </row>
    <row r="217" spans="1:7" ht="15">
      <c r="A217" s="97" t="s">
        <v>2837</v>
      </c>
      <c r="B217" s="102">
        <v>3</v>
      </c>
      <c r="C217" s="118">
        <v>0.0015219714891077365</v>
      </c>
      <c r="D217" s="102" t="s">
        <v>3110</v>
      </c>
      <c r="E217" s="102" t="b">
        <v>0</v>
      </c>
      <c r="F217" s="102" t="b">
        <v>0</v>
      </c>
      <c r="G217" s="102" t="b">
        <v>0</v>
      </c>
    </row>
    <row r="218" spans="1:7" ht="15">
      <c r="A218" s="97" t="s">
        <v>348</v>
      </c>
      <c r="B218" s="102">
        <v>3</v>
      </c>
      <c r="C218" s="118">
        <v>0.0015219714891077365</v>
      </c>
      <c r="D218" s="102" t="s">
        <v>3110</v>
      </c>
      <c r="E218" s="102" t="b">
        <v>0</v>
      </c>
      <c r="F218" s="102" t="b">
        <v>0</v>
      </c>
      <c r="G218" s="102" t="b">
        <v>0</v>
      </c>
    </row>
    <row r="219" spans="1:7" ht="15">
      <c r="A219" s="97" t="s">
        <v>2838</v>
      </c>
      <c r="B219" s="102">
        <v>3</v>
      </c>
      <c r="C219" s="118">
        <v>0.0015219714891077365</v>
      </c>
      <c r="D219" s="102" t="s">
        <v>3110</v>
      </c>
      <c r="E219" s="102" t="b">
        <v>0</v>
      </c>
      <c r="F219" s="102" t="b">
        <v>0</v>
      </c>
      <c r="G219" s="102" t="b">
        <v>0</v>
      </c>
    </row>
    <row r="220" spans="1:7" ht="15">
      <c r="A220" s="97" t="s">
        <v>2839</v>
      </c>
      <c r="B220" s="102">
        <v>3</v>
      </c>
      <c r="C220" s="118">
        <v>0.0015219714891077365</v>
      </c>
      <c r="D220" s="102" t="s">
        <v>3110</v>
      </c>
      <c r="E220" s="102" t="b">
        <v>0</v>
      </c>
      <c r="F220" s="102" t="b">
        <v>0</v>
      </c>
      <c r="G220" s="102" t="b">
        <v>0</v>
      </c>
    </row>
    <row r="221" spans="1:7" ht="15">
      <c r="A221" s="97" t="s">
        <v>495</v>
      </c>
      <c r="B221" s="102">
        <v>3</v>
      </c>
      <c r="C221" s="118">
        <v>0.0016612474651602133</v>
      </c>
      <c r="D221" s="102" t="s">
        <v>3110</v>
      </c>
      <c r="E221" s="102" t="b">
        <v>0</v>
      </c>
      <c r="F221" s="102" t="b">
        <v>0</v>
      </c>
      <c r="G221" s="102" t="b">
        <v>0</v>
      </c>
    </row>
    <row r="222" spans="1:7" ht="15">
      <c r="A222" s="97" t="s">
        <v>2840</v>
      </c>
      <c r="B222" s="102">
        <v>3</v>
      </c>
      <c r="C222" s="118">
        <v>0.0015219714891077365</v>
      </c>
      <c r="D222" s="102" t="s">
        <v>3110</v>
      </c>
      <c r="E222" s="102" t="b">
        <v>0</v>
      </c>
      <c r="F222" s="102" t="b">
        <v>0</v>
      </c>
      <c r="G222" s="102" t="b">
        <v>0</v>
      </c>
    </row>
    <row r="223" spans="1:7" ht="15">
      <c r="A223" s="97" t="s">
        <v>436</v>
      </c>
      <c r="B223" s="102">
        <v>3</v>
      </c>
      <c r="C223" s="118">
        <v>0.0016612474651602133</v>
      </c>
      <c r="D223" s="102" t="s">
        <v>3110</v>
      </c>
      <c r="E223" s="102" t="b">
        <v>0</v>
      </c>
      <c r="F223" s="102" t="b">
        <v>0</v>
      </c>
      <c r="G223" s="102" t="b">
        <v>0</v>
      </c>
    </row>
    <row r="224" spans="1:7" ht="15">
      <c r="A224" s="97" t="s">
        <v>2841</v>
      </c>
      <c r="B224" s="102">
        <v>3</v>
      </c>
      <c r="C224" s="118">
        <v>0.0015219714891077365</v>
      </c>
      <c r="D224" s="102" t="s">
        <v>3110</v>
      </c>
      <c r="E224" s="102" t="b">
        <v>0</v>
      </c>
      <c r="F224" s="102" t="b">
        <v>0</v>
      </c>
      <c r="G224" s="102" t="b">
        <v>0</v>
      </c>
    </row>
    <row r="225" spans="1:7" ht="15">
      <c r="A225" s="97" t="s">
        <v>494</v>
      </c>
      <c r="B225" s="102">
        <v>3</v>
      </c>
      <c r="C225" s="118">
        <v>0.0015219714891077365</v>
      </c>
      <c r="D225" s="102" t="s">
        <v>3110</v>
      </c>
      <c r="E225" s="102" t="b">
        <v>0</v>
      </c>
      <c r="F225" s="102" t="b">
        <v>0</v>
      </c>
      <c r="G225" s="102" t="b">
        <v>0</v>
      </c>
    </row>
    <row r="226" spans="1:7" ht="15">
      <c r="A226" s="97" t="s">
        <v>2842</v>
      </c>
      <c r="B226" s="102">
        <v>3</v>
      </c>
      <c r="C226" s="118">
        <v>0.0015219714891077365</v>
      </c>
      <c r="D226" s="102" t="s">
        <v>3110</v>
      </c>
      <c r="E226" s="102" t="b">
        <v>0</v>
      </c>
      <c r="F226" s="102" t="b">
        <v>0</v>
      </c>
      <c r="G226" s="102" t="b">
        <v>0</v>
      </c>
    </row>
    <row r="227" spans="1:7" ht="15">
      <c r="A227" s="97" t="s">
        <v>2843</v>
      </c>
      <c r="B227" s="102">
        <v>3</v>
      </c>
      <c r="C227" s="118">
        <v>0.0015219714891077365</v>
      </c>
      <c r="D227" s="102" t="s">
        <v>3110</v>
      </c>
      <c r="E227" s="102" t="b">
        <v>0</v>
      </c>
      <c r="F227" s="102" t="b">
        <v>0</v>
      </c>
      <c r="G227" s="102" t="b">
        <v>0</v>
      </c>
    </row>
    <row r="228" spans="1:7" ht="15">
      <c r="A228" s="97" t="s">
        <v>2844</v>
      </c>
      <c r="B228" s="102">
        <v>3</v>
      </c>
      <c r="C228" s="118">
        <v>0.0016612474651602133</v>
      </c>
      <c r="D228" s="102" t="s">
        <v>3110</v>
      </c>
      <c r="E228" s="102" t="b">
        <v>0</v>
      </c>
      <c r="F228" s="102" t="b">
        <v>0</v>
      </c>
      <c r="G228" s="102" t="b">
        <v>0</v>
      </c>
    </row>
    <row r="229" spans="1:7" ht="15">
      <c r="A229" s="97" t="s">
        <v>2845</v>
      </c>
      <c r="B229" s="102">
        <v>3</v>
      </c>
      <c r="C229" s="118">
        <v>0.0015219714891077365</v>
      </c>
      <c r="D229" s="102" t="s">
        <v>3110</v>
      </c>
      <c r="E229" s="102" t="b">
        <v>0</v>
      </c>
      <c r="F229" s="102" t="b">
        <v>0</v>
      </c>
      <c r="G229" s="102" t="b">
        <v>0</v>
      </c>
    </row>
    <row r="230" spans="1:7" ht="15">
      <c r="A230" s="97" t="s">
        <v>2846</v>
      </c>
      <c r="B230" s="102">
        <v>3</v>
      </c>
      <c r="C230" s="118">
        <v>0.0015219714891077365</v>
      </c>
      <c r="D230" s="102" t="s">
        <v>3110</v>
      </c>
      <c r="E230" s="102" t="b">
        <v>0</v>
      </c>
      <c r="F230" s="102" t="b">
        <v>0</v>
      </c>
      <c r="G230" s="102" t="b">
        <v>0</v>
      </c>
    </row>
    <row r="231" spans="1:7" ht="15">
      <c r="A231" s="97" t="s">
        <v>2847</v>
      </c>
      <c r="B231" s="102">
        <v>3</v>
      </c>
      <c r="C231" s="118">
        <v>0.0015219714891077365</v>
      </c>
      <c r="D231" s="102" t="s">
        <v>3110</v>
      </c>
      <c r="E231" s="102" t="b">
        <v>0</v>
      </c>
      <c r="F231" s="102" t="b">
        <v>0</v>
      </c>
      <c r="G231" s="102" t="b">
        <v>0</v>
      </c>
    </row>
    <row r="232" spans="1:7" ht="15">
      <c r="A232" s="97" t="s">
        <v>2848</v>
      </c>
      <c r="B232" s="102">
        <v>3</v>
      </c>
      <c r="C232" s="118">
        <v>0.0015219714891077365</v>
      </c>
      <c r="D232" s="102" t="s">
        <v>3110</v>
      </c>
      <c r="E232" s="102" t="b">
        <v>0</v>
      </c>
      <c r="F232" s="102" t="b">
        <v>0</v>
      </c>
      <c r="G232" s="102" t="b">
        <v>0</v>
      </c>
    </row>
    <row r="233" spans="1:7" ht="15">
      <c r="A233" s="97" t="s">
        <v>2849</v>
      </c>
      <c r="B233" s="102">
        <v>3</v>
      </c>
      <c r="C233" s="118">
        <v>0.0015219714891077365</v>
      </c>
      <c r="D233" s="102" t="s">
        <v>3110</v>
      </c>
      <c r="E233" s="102" t="b">
        <v>0</v>
      </c>
      <c r="F233" s="102" t="b">
        <v>0</v>
      </c>
      <c r="G233" s="102" t="b">
        <v>0</v>
      </c>
    </row>
    <row r="234" spans="1:7" ht="15">
      <c r="A234" s="97" t="s">
        <v>2850</v>
      </c>
      <c r="B234" s="102">
        <v>3</v>
      </c>
      <c r="C234" s="118">
        <v>0.0015219714891077365</v>
      </c>
      <c r="D234" s="102" t="s">
        <v>3110</v>
      </c>
      <c r="E234" s="102" t="b">
        <v>0</v>
      </c>
      <c r="F234" s="102" t="b">
        <v>0</v>
      </c>
      <c r="G234" s="102" t="b">
        <v>0</v>
      </c>
    </row>
    <row r="235" spans="1:7" ht="15">
      <c r="A235" s="97" t="s">
        <v>2851</v>
      </c>
      <c r="B235" s="102">
        <v>3</v>
      </c>
      <c r="C235" s="118">
        <v>0.0015219714891077365</v>
      </c>
      <c r="D235" s="102" t="s">
        <v>3110</v>
      </c>
      <c r="E235" s="102" t="b">
        <v>0</v>
      </c>
      <c r="F235" s="102" t="b">
        <v>0</v>
      </c>
      <c r="G235" s="102" t="b">
        <v>0</v>
      </c>
    </row>
    <row r="236" spans="1:7" ht="15">
      <c r="A236" s="97" t="s">
        <v>2852</v>
      </c>
      <c r="B236" s="102">
        <v>3</v>
      </c>
      <c r="C236" s="118">
        <v>0.0015219714891077365</v>
      </c>
      <c r="D236" s="102" t="s">
        <v>3110</v>
      </c>
      <c r="E236" s="102" t="b">
        <v>0</v>
      </c>
      <c r="F236" s="102" t="b">
        <v>0</v>
      </c>
      <c r="G236" s="102" t="b">
        <v>0</v>
      </c>
    </row>
    <row r="237" spans="1:7" ht="15">
      <c r="A237" s="97" t="s">
        <v>2853</v>
      </c>
      <c r="B237" s="102">
        <v>3</v>
      </c>
      <c r="C237" s="118">
        <v>0.0015219714891077365</v>
      </c>
      <c r="D237" s="102" t="s">
        <v>3110</v>
      </c>
      <c r="E237" s="102" t="b">
        <v>0</v>
      </c>
      <c r="F237" s="102" t="b">
        <v>0</v>
      </c>
      <c r="G237" s="102" t="b">
        <v>0</v>
      </c>
    </row>
    <row r="238" spans="1:7" ht="15">
      <c r="A238" s="97" t="s">
        <v>2854</v>
      </c>
      <c r="B238" s="102">
        <v>3</v>
      </c>
      <c r="C238" s="118">
        <v>0.0015219714891077365</v>
      </c>
      <c r="D238" s="102" t="s">
        <v>3110</v>
      </c>
      <c r="E238" s="102" t="b">
        <v>0</v>
      </c>
      <c r="F238" s="102" t="b">
        <v>0</v>
      </c>
      <c r="G238" s="102" t="b">
        <v>0</v>
      </c>
    </row>
    <row r="239" spans="1:7" ht="15">
      <c r="A239" s="97" t="s">
        <v>2855</v>
      </c>
      <c r="B239" s="102">
        <v>3</v>
      </c>
      <c r="C239" s="118">
        <v>0.0015219714891077365</v>
      </c>
      <c r="D239" s="102" t="s">
        <v>3110</v>
      </c>
      <c r="E239" s="102" t="b">
        <v>0</v>
      </c>
      <c r="F239" s="102" t="b">
        <v>0</v>
      </c>
      <c r="G239" s="102" t="b">
        <v>0</v>
      </c>
    </row>
    <row r="240" spans="1:7" ht="15">
      <c r="A240" s="97" t="s">
        <v>2856</v>
      </c>
      <c r="B240" s="102">
        <v>3</v>
      </c>
      <c r="C240" s="118">
        <v>0.0015219714891077365</v>
      </c>
      <c r="D240" s="102" t="s">
        <v>3110</v>
      </c>
      <c r="E240" s="102" t="b">
        <v>0</v>
      </c>
      <c r="F240" s="102" t="b">
        <v>0</v>
      </c>
      <c r="G240" s="102" t="b">
        <v>0</v>
      </c>
    </row>
    <row r="241" spans="1:7" ht="15">
      <c r="A241" s="97" t="s">
        <v>2857</v>
      </c>
      <c r="B241" s="102">
        <v>3</v>
      </c>
      <c r="C241" s="118">
        <v>0.0015219714891077365</v>
      </c>
      <c r="D241" s="102" t="s">
        <v>3110</v>
      </c>
      <c r="E241" s="102" t="b">
        <v>0</v>
      </c>
      <c r="F241" s="102" t="b">
        <v>0</v>
      </c>
      <c r="G241" s="102" t="b">
        <v>0</v>
      </c>
    </row>
    <row r="242" spans="1:7" ht="15">
      <c r="A242" s="97" t="s">
        <v>2858</v>
      </c>
      <c r="B242" s="102">
        <v>3</v>
      </c>
      <c r="C242" s="118">
        <v>0.0015219714891077365</v>
      </c>
      <c r="D242" s="102" t="s">
        <v>3110</v>
      </c>
      <c r="E242" s="102" t="b">
        <v>0</v>
      </c>
      <c r="F242" s="102" t="b">
        <v>0</v>
      </c>
      <c r="G242" s="102" t="b">
        <v>0</v>
      </c>
    </row>
    <row r="243" spans="1:7" ht="15">
      <c r="A243" s="97" t="s">
        <v>2859</v>
      </c>
      <c r="B243" s="102">
        <v>3</v>
      </c>
      <c r="C243" s="118">
        <v>0.0015219714891077365</v>
      </c>
      <c r="D243" s="102" t="s">
        <v>3110</v>
      </c>
      <c r="E243" s="102" t="b">
        <v>0</v>
      </c>
      <c r="F243" s="102" t="b">
        <v>0</v>
      </c>
      <c r="G243" s="102" t="b">
        <v>0</v>
      </c>
    </row>
    <row r="244" spans="1:7" ht="15">
      <c r="A244" s="97" t="s">
        <v>2860</v>
      </c>
      <c r="B244" s="102">
        <v>3</v>
      </c>
      <c r="C244" s="118">
        <v>0.0015219714891077365</v>
      </c>
      <c r="D244" s="102" t="s">
        <v>3110</v>
      </c>
      <c r="E244" s="102" t="b">
        <v>0</v>
      </c>
      <c r="F244" s="102" t="b">
        <v>0</v>
      </c>
      <c r="G244" s="102" t="b">
        <v>0</v>
      </c>
    </row>
    <row r="245" spans="1:7" ht="15">
      <c r="A245" s="97" t="s">
        <v>2861</v>
      </c>
      <c r="B245" s="102">
        <v>3</v>
      </c>
      <c r="C245" s="118">
        <v>0.0015219714891077365</v>
      </c>
      <c r="D245" s="102" t="s">
        <v>3110</v>
      </c>
      <c r="E245" s="102" t="b">
        <v>0</v>
      </c>
      <c r="F245" s="102" t="b">
        <v>0</v>
      </c>
      <c r="G245" s="102" t="b">
        <v>0</v>
      </c>
    </row>
    <row r="246" spans="1:7" ht="15">
      <c r="A246" s="97" t="s">
        <v>2862</v>
      </c>
      <c r="B246" s="102">
        <v>3</v>
      </c>
      <c r="C246" s="118">
        <v>0.0015219714891077365</v>
      </c>
      <c r="D246" s="102" t="s">
        <v>3110</v>
      </c>
      <c r="E246" s="102" t="b">
        <v>0</v>
      </c>
      <c r="F246" s="102" t="b">
        <v>0</v>
      </c>
      <c r="G246" s="102" t="b">
        <v>0</v>
      </c>
    </row>
    <row r="247" spans="1:7" ht="15">
      <c r="A247" s="97" t="s">
        <v>2863</v>
      </c>
      <c r="B247" s="102">
        <v>3</v>
      </c>
      <c r="C247" s="118">
        <v>0.0015219714891077365</v>
      </c>
      <c r="D247" s="102" t="s">
        <v>3110</v>
      </c>
      <c r="E247" s="102" t="b">
        <v>0</v>
      </c>
      <c r="F247" s="102" t="b">
        <v>0</v>
      </c>
      <c r="G247" s="102" t="b">
        <v>0</v>
      </c>
    </row>
    <row r="248" spans="1:7" ht="15">
      <c r="A248" s="97" t="s">
        <v>2864</v>
      </c>
      <c r="B248" s="102">
        <v>3</v>
      </c>
      <c r="C248" s="118">
        <v>0.0015219714891077365</v>
      </c>
      <c r="D248" s="102" t="s">
        <v>3110</v>
      </c>
      <c r="E248" s="102" t="b">
        <v>0</v>
      </c>
      <c r="F248" s="102" t="b">
        <v>0</v>
      </c>
      <c r="G248" s="102" t="b">
        <v>0</v>
      </c>
    </row>
    <row r="249" spans="1:7" ht="15">
      <c r="A249" s="97" t="s">
        <v>331</v>
      </c>
      <c r="B249" s="102">
        <v>3</v>
      </c>
      <c r="C249" s="118">
        <v>0.0015219714891077365</v>
      </c>
      <c r="D249" s="102" t="s">
        <v>3110</v>
      </c>
      <c r="E249" s="102" t="b">
        <v>0</v>
      </c>
      <c r="F249" s="102" t="b">
        <v>0</v>
      </c>
      <c r="G249" s="102" t="b">
        <v>0</v>
      </c>
    </row>
    <row r="250" spans="1:7" ht="15">
      <c r="A250" s="97" t="s">
        <v>2865</v>
      </c>
      <c r="B250" s="102">
        <v>3</v>
      </c>
      <c r="C250" s="118">
        <v>0.0015219714891077365</v>
      </c>
      <c r="D250" s="102" t="s">
        <v>3110</v>
      </c>
      <c r="E250" s="102" t="b">
        <v>0</v>
      </c>
      <c r="F250" s="102" t="b">
        <v>0</v>
      </c>
      <c r="G250" s="102" t="b">
        <v>0</v>
      </c>
    </row>
    <row r="251" spans="1:7" ht="15">
      <c r="A251" s="97" t="s">
        <v>2866</v>
      </c>
      <c r="B251" s="102">
        <v>3</v>
      </c>
      <c r="C251" s="118">
        <v>0.0015219714891077365</v>
      </c>
      <c r="D251" s="102" t="s">
        <v>3110</v>
      </c>
      <c r="E251" s="102" t="b">
        <v>0</v>
      </c>
      <c r="F251" s="102" t="b">
        <v>0</v>
      </c>
      <c r="G251" s="102" t="b">
        <v>0</v>
      </c>
    </row>
    <row r="252" spans="1:7" ht="15">
      <c r="A252" s="97" t="s">
        <v>2867</v>
      </c>
      <c r="B252" s="102">
        <v>3</v>
      </c>
      <c r="C252" s="118">
        <v>0.0016612474651602133</v>
      </c>
      <c r="D252" s="102" t="s">
        <v>3110</v>
      </c>
      <c r="E252" s="102" t="b">
        <v>0</v>
      </c>
      <c r="F252" s="102" t="b">
        <v>0</v>
      </c>
      <c r="G252" s="102" t="b">
        <v>0</v>
      </c>
    </row>
    <row r="253" spans="1:7" ht="15">
      <c r="A253" s="97" t="s">
        <v>2868</v>
      </c>
      <c r="B253" s="102">
        <v>3</v>
      </c>
      <c r="C253" s="118">
        <v>0.0016612474651602133</v>
      </c>
      <c r="D253" s="102" t="s">
        <v>3110</v>
      </c>
      <c r="E253" s="102" t="b">
        <v>0</v>
      </c>
      <c r="F253" s="102" t="b">
        <v>0</v>
      </c>
      <c r="G253" s="102" t="b">
        <v>0</v>
      </c>
    </row>
    <row r="254" spans="1:7" ht="15">
      <c r="A254" s="97" t="s">
        <v>461</v>
      </c>
      <c r="B254" s="102">
        <v>3</v>
      </c>
      <c r="C254" s="118">
        <v>0.0015219714891077365</v>
      </c>
      <c r="D254" s="102" t="s">
        <v>3110</v>
      </c>
      <c r="E254" s="102" t="b">
        <v>0</v>
      </c>
      <c r="F254" s="102" t="b">
        <v>0</v>
      </c>
      <c r="G254" s="102" t="b">
        <v>0</v>
      </c>
    </row>
    <row r="255" spans="1:7" ht="15">
      <c r="A255" s="97" t="s">
        <v>2869</v>
      </c>
      <c r="B255" s="102">
        <v>3</v>
      </c>
      <c r="C255" s="118">
        <v>0.0015219714891077365</v>
      </c>
      <c r="D255" s="102" t="s">
        <v>3110</v>
      </c>
      <c r="E255" s="102" t="b">
        <v>0</v>
      </c>
      <c r="F255" s="102" t="b">
        <v>0</v>
      </c>
      <c r="G255" s="102" t="b">
        <v>0</v>
      </c>
    </row>
    <row r="256" spans="1:7" ht="15">
      <c r="A256" s="97" t="s">
        <v>2870</v>
      </c>
      <c r="B256" s="102">
        <v>3</v>
      </c>
      <c r="C256" s="118">
        <v>0.0015219714891077365</v>
      </c>
      <c r="D256" s="102" t="s">
        <v>3110</v>
      </c>
      <c r="E256" s="102" t="b">
        <v>0</v>
      </c>
      <c r="F256" s="102" t="b">
        <v>0</v>
      </c>
      <c r="G256" s="102" t="b">
        <v>0</v>
      </c>
    </row>
    <row r="257" spans="1:7" ht="15">
      <c r="A257" s="97" t="s">
        <v>2871</v>
      </c>
      <c r="B257" s="102">
        <v>3</v>
      </c>
      <c r="C257" s="118">
        <v>0.0015219714891077365</v>
      </c>
      <c r="D257" s="102" t="s">
        <v>3110</v>
      </c>
      <c r="E257" s="102" t="b">
        <v>0</v>
      </c>
      <c r="F257" s="102" t="b">
        <v>0</v>
      </c>
      <c r="G257" s="102" t="b">
        <v>0</v>
      </c>
    </row>
    <row r="258" spans="1:7" ht="15">
      <c r="A258" s="97" t="s">
        <v>2872</v>
      </c>
      <c r="B258" s="102">
        <v>3</v>
      </c>
      <c r="C258" s="118">
        <v>0.0015219714891077365</v>
      </c>
      <c r="D258" s="102" t="s">
        <v>3110</v>
      </c>
      <c r="E258" s="102" t="b">
        <v>0</v>
      </c>
      <c r="F258" s="102" t="b">
        <v>0</v>
      </c>
      <c r="G258" s="102" t="b">
        <v>0</v>
      </c>
    </row>
    <row r="259" spans="1:7" ht="15">
      <c r="A259" s="97" t="s">
        <v>2873</v>
      </c>
      <c r="B259" s="102">
        <v>3</v>
      </c>
      <c r="C259" s="118">
        <v>0.0015219714891077365</v>
      </c>
      <c r="D259" s="102" t="s">
        <v>3110</v>
      </c>
      <c r="E259" s="102" t="b">
        <v>0</v>
      </c>
      <c r="F259" s="102" t="b">
        <v>0</v>
      </c>
      <c r="G259" s="102" t="b">
        <v>0</v>
      </c>
    </row>
    <row r="260" spans="1:7" ht="15">
      <c r="A260" s="97" t="s">
        <v>457</v>
      </c>
      <c r="B260" s="102">
        <v>3</v>
      </c>
      <c r="C260" s="118">
        <v>0.0015219714891077365</v>
      </c>
      <c r="D260" s="102" t="s">
        <v>3110</v>
      </c>
      <c r="E260" s="102" t="b">
        <v>0</v>
      </c>
      <c r="F260" s="102" t="b">
        <v>0</v>
      </c>
      <c r="G260" s="102" t="b">
        <v>0</v>
      </c>
    </row>
    <row r="261" spans="1:7" ht="15">
      <c r="A261" s="97" t="s">
        <v>2874</v>
      </c>
      <c r="B261" s="102">
        <v>3</v>
      </c>
      <c r="C261" s="118">
        <v>0.0015219714891077365</v>
      </c>
      <c r="D261" s="102" t="s">
        <v>3110</v>
      </c>
      <c r="E261" s="102" t="b">
        <v>0</v>
      </c>
      <c r="F261" s="102" t="b">
        <v>0</v>
      </c>
      <c r="G261" s="102" t="b">
        <v>0</v>
      </c>
    </row>
    <row r="262" spans="1:7" ht="15">
      <c r="A262" s="97" t="s">
        <v>2875</v>
      </c>
      <c r="B262" s="102">
        <v>3</v>
      </c>
      <c r="C262" s="118">
        <v>0.0015219714891077365</v>
      </c>
      <c r="D262" s="102" t="s">
        <v>3110</v>
      </c>
      <c r="E262" s="102" t="b">
        <v>0</v>
      </c>
      <c r="F262" s="102" t="b">
        <v>0</v>
      </c>
      <c r="G262" s="102" t="b">
        <v>0</v>
      </c>
    </row>
    <row r="263" spans="1:7" ht="15">
      <c r="A263" s="97" t="s">
        <v>2876</v>
      </c>
      <c r="B263" s="102">
        <v>3</v>
      </c>
      <c r="C263" s="118">
        <v>0.0015219714891077365</v>
      </c>
      <c r="D263" s="102" t="s">
        <v>3110</v>
      </c>
      <c r="E263" s="102" t="b">
        <v>0</v>
      </c>
      <c r="F263" s="102" t="b">
        <v>0</v>
      </c>
      <c r="G263" s="102" t="b">
        <v>0</v>
      </c>
    </row>
    <row r="264" spans="1:7" ht="15">
      <c r="A264" s="97" t="s">
        <v>2877</v>
      </c>
      <c r="B264" s="102">
        <v>3</v>
      </c>
      <c r="C264" s="118">
        <v>0.0015219714891077365</v>
      </c>
      <c r="D264" s="102" t="s">
        <v>3110</v>
      </c>
      <c r="E264" s="102" t="b">
        <v>0</v>
      </c>
      <c r="F264" s="102" t="b">
        <v>0</v>
      </c>
      <c r="G264" s="102" t="b">
        <v>0</v>
      </c>
    </row>
    <row r="265" spans="1:7" ht="15">
      <c r="A265" s="97" t="s">
        <v>2878</v>
      </c>
      <c r="B265" s="102">
        <v>3</v>
      </c>
      <c r="C265" s="118">
        <v>0.0015219714891077365</v>
      </c>
      <c r="D265" s="102" t="s">
        <v>3110</v>
      </c>
      <c r="E265" s="102" t="b">
        <v>0</v>
      </c>
      <c r="F265" s="102" t="b">
        <v>0</v>
      </c>
      <c r="G265" s="102" t="b">
        <v>0</v>
      </c>
    </row>
    <row r="266" spans="1:7" ht="15">
      <c r="A266" s="97" t="s">
        <v>2879</v>
      </c>
      <c r="B266" s="102">
        <v>3</v>
      </c>
      <c r="C266" s="118">
        <v>0.0015219714891077365</v>
      </c>
      <c r="D266" s="102" t="s">
        <v>3110</v>
      </c>
      <c r="E266" s="102" t="b">
        <v>0</v>
      </c>
      <c r="F266" s="102" t="b">
        <v>0</v>
      </c>
      <c r="G266" s="102" t="b">
        <v>0</v>
      </c>
    </row>
    <row r="267" spans="1:7" ht="15">
      <c r="A267" s="97" t="s">
        <v>2880</v>
      </c>
      <c r="B267" s="102">
        <v>3</v>
      </c>
      <c r="C267" s="118">
        <v>0.0015219714891077365</v>
      </c>
      <c r="D267" s="102" t="s">
        <v>3110</v>
      </c>
      <c r="E267" s="102" t="b">
        <v>0</v>
      </c>
      <c r="F267" s="102" t="b">
        <v>0</v>
      </c>
      <c r="G267" s="102" t="b">
        <v>0</v>
      </c>
    </row>
    <row r="268" spans="1:7" ht="15">
      <c r="A268" s="97" t="s">
        <v>2881</v>
      </c>
      <c r="B268" s="102">
        <v>3</v>
      </c>
      <c r="C268" s="118">
        <v>0.0015219714891077365</v>
      </c>
      <c r="D268" s="102" t="s">
        <v>3110</v>
      </c>
      <c r="E268" s="102" t="b">
        <v>0</v>
      </c>
      <c r="F268" s="102" t="b">
        <v>0</v>
      </c>
      <c r="G268" s="102" t="b">
        <v>0</v>
      </c>
    </row>
    <row r="269" spans="1:7" ht="15">
      <c r="A269" s="97" t="s">
        <v>2882</v>
      </c>
      <c r="B269" s="102">
        <v>3</v>
      </c>
      <c r="C269" s="118">
        <v>0.0015219714891077365</v>
      </c>
      <c r="D269" s="102" t="s">
        <v>3110</v>
      </c>
      <c r="E269" s="102" t="b">
        <v>0</v>
      </c>
      <c r="F269" s="102" t="b">
        <v>0</v>
      </c>
      <c r="G269" s="102" t="b">
        <v>0</v>
      </c>
    </row>
    <row r="270" spans="1:7" ht="15">
      <c r="A270" s="97" t="s">
        <v>2883</v>
      </c>
      <c r="B270" s="102">
        <v>3</v>
      </c>
      <c r="C270" s="118">
        <v>0.0015219714891077365</v>
      </c>
      <c r="D270" s="102" t="s">
        <v>3110</v>
      </c>
      <c r="E270" s="102" t="b">
        <v>0</v>
      </c>
      <c r="F270" s="102" t="b">
        <v>0</v>
      </c>
      <c r="G270" s="102" t="b">
        <v>0</v>
      </c>
    </row>
    <row r="271" spans="1:7" ht="15">
      <c r="A271" s="97" t="s">
        <v>2884</v>
      </c>
      <c r="B271" s="102">
        <v>3</v>
      </c>
      <c r="C271" s="118">
        <v>0.0015219714891077365</v>
      </c>
      <c r="D271" s="102" t="s">
        <v>3110</v>
      </c>
      <c r="E271" s="102" t="b">
        <v>0</v>
      </c>
      <c r="F271" s="102" t="b">
        <v>0</v>
      </c>
      <c r="G271" s="102" t="b">
        <v>0</v>
      </c>
    </row>
    <row r="272" spans="1:7" ht="15">
      <c r="A272" s="97" t="s">
        <v>2885</v>
      </c>
      <c r="B272" s="102">
        <v>3</v>
      </c>
      <c r="C272" s="118">
        <v>0.0015219714891077365</v>
      </c>
      <c r="D272" s="102" t="s">
        <v>3110</v>
      </c>
      <c r="E272" s="102" t="b">
        <v>0</v>
      </c>
      <c r="F272" s="102" t="b">
        <v>0</v>
      </c>
      <c r="G272" s="102" t="b">
        <v>0</v>
      </c>
    </row>
    <row r="273" spans="1:7" ht="15">
      <c r="A273" s="97" t="s">
        <v>2886</v>
      </c>
      <c r="B273" s="102">
        <v>3</v>
      </c>
      <c r="C273" s="118">
        <v>0.0015219714891077365</v>
      </c>
      <c r="D273" s="102" t="s">
        <v>3110</v>
      </c>
      <c r="E273" s="102" t="b">
        <v>0</v>
      </c>
      <c r="F273" s="102" t="b">
        <v>0</v>
      </c>
      <c r="G273" s="102" t="b">
        <v>0</v>
      </c>
    </row>
    <row r="274" spans="1:7" ht="15">
      <c r="A274" s="97" t="s">
        <v>2887</v>
      </c>
      <c r="B274" s="102">
        <v>3</v>
      </c>
      <c r="C274" s="118">
        <v>0.0015219714891077365</v>
      </c>
      <c r="D274" s="102" t="s">
        <v>3110</v>
      </c>
      <c r="E274" s="102" t="b">
        <v>0</v>
      </c>
      <c r="F274" s="102" t="b">
        <v>0</v>
      </c>
      <c r="G274" s="102" t="b">
        <v>0</v>
      </c>
    </row>
    <row r="275" spans="1:7" ht="15">
      <c r="A275" s="97" t="s">
        <v>2888</v>
      </c>
      <c r="B275" s="102">
        <v>3</v>
      </c>
      <c r="C275" s="118">
        <v>0.0015219714891077365</v>
      </c>
      <c r="D275" s="102" t="s">
        <v>3110</v>
      </c>
      <c r="E275" s="102" t="b">
        <v>0</v>
      </c>
      <c r="F275" s="102" t="b">
        <v>0</v>
      </c>
      <c r="G275" s="102" t="b">
        <v>0</v>
      </c>
    </row>
    <row r="276" spans="1:7" ht="15">
      <c r="A276" s="97" t="s">
        <v>2889</v>
      </c>
      <c r="B276" s="102">
        <v>3</v>
      </c>
      <c r="C276" s="118">
        <v>0.0015219714891077365</v>
      </c>
      <c r="D276" s="102" t="s">
        <v>3110</v>
      </c>
      <c r="E276" s="102" t="b">
        <v>0</v>
      </c>
      <c r="F276" s="102" t="b">
        <v>0</v>
      </c>
      <c r="G276" s="102" t="b">
        <v>0</v>
      </c>
    </row>
    <row r="277" spans="1:7" ht="15">
      <c r="A277" s="97" t="s">
        <v>379</v>
      </c>
      <c r="B277" s="102">
        <v>3</v>
      </c>
      <c r="C277" s="118">
        <v>0.0015219714891077365</v>
      </c>
      <c r="D277" s="102" t="s">
        <v>3110</v>
      </c>
      <c r="E277" s="102" t="b">
        <v>0</v>
      </c>
      <c r="F277" s="102" t="b">
        <v>0</v>
      </c>
      <c r="G277" s="102" t="b">
        <v>0</v>
      </c>
    </row>
    <row r="278" spans="1:7" ht="15">
      <c r="A278" s="97" t="s">
        <v>2890</v>
      </c>
      <c r="B278" s="102">
        <v>3</v>
      </c>
      <c r="C278" s="118">
        <v>0.0015219714891077365</v>
      </c>
      <c r="D278" s="102" t="s">
        <v>3110</v>
      </c>
      <c r="E278" s="102" t="b">
        <v>0</v>
      </c>
      <c r="F278" s="102" t="b">
        <v>0</v>
      </c>
      <c r="G278" s="102" t="b">
        <v>0</v>
      </c>
    </row>
    <row r="279" spans="1:7" ht="15">
      <c r="A279" s="97" t="s">
        <v>2891</v>
      </c>
      <c r="B279" s="102">
        <v>3</v>
      </c>
      <c r="C279" s="118">
        <v>0.0015219714891077365</v>
      </c>
      <c r="D279" s="102" t="s">
        <v>3110</v>
      </c>
      <c r="E279" s="102" t="b">
        <v>0</v>
      </c>
      <c r="F279" s="102" t="b">
        <v>0</v>
      </c>
      <c r="G279" s="102" t="b">
        <v>0</v>
      </c>
    </row>
    <row r="280" spans="1:7" ht="15">
      <c r="A280" s="97" t="s">
        <v>2892</v>
      </c>
      <c r="B280" s="102">
        <v>3</v>
      </c>
      <c r="C280" s="118">
        <v>0.0015219714891077365</v>
      </c>
      <c r="D280" s="102" t="s">
        <v>3110</v>
      </c>
      <c r="E280" s="102" t="b">
        <v>0</v>
      </c>
      <c r="F280" s="102" t="b">
        <v>0</v>
      </c>
      <c r="G280" s="102" t="b">
        <v>0</v>
      </c>
    </row>
    <row r="281" spans="1:7" ht="15">
      <c r="A281" s="97" t="s">
        <v>2893</v>
      </c>
      <c r="B281" s="102">
        <v>3</v>
      </c>
      <c r="C281" s="118">
        <v>0.0015219714891077365</v>
      </c>
      <c r="D281" s="102" t="s">
        <v>3110</v>
      </c>
      <c r="E281" s="102" t="b">
        <v>0</v>
      </c>
      <c r="F281" s="102" t="b">
        <v>0</v>
      </c>
      <c r="G281" s="102" t="b">
        <v>0</v>
      </c>
    </row>
    <row r="282" spans="1:7" ht="15">
      <c r="A282" s="97" t="s">
        <v>2894</v>
      </c>
      <c r="B282" s="102">
        <v>3</v>
      </c>
      <c r="C282" s="118">
        <v>0.0015219714891077365</v>
      </c>
      <c r="D282" s="102" t="s">
        <v>3110</v>
      </c>
      <c r="E282" s="102" t="b">
        <v>0</v>
      </c>
      <c r="F282" s="102" t="b">
        <v>0</v>
      </c>
      <c r="G282" s="102" t="b">
        <v>0</v>
      </c>
    </row>
    <row r="283" spans="1:7" ht="15">
      <c r="A283" s="97" t="s">
        <v>2895</v>
      </c>
      <c r="B283" s="102">
        <v>3</v>
      </c>
      <c r="C283" s="118">
        <v>0.0015219714891077365</v>
      </c>
      <c r="D283" s="102" t="s">
        <v>3110</v>
      </c>
      <c r="E283" s="102" t="b">
        <v>0</v>
      </c>
      <c r="F283" s="102" t="b">
        <v>0</v>
      </c>
      <c r="G283" s="102" t="b">
        <v>0</v>
      </c>
    </row>
    <row r="284" spans="1:7" ht="15">
      <c r="A284" s="97" t="s">
        <v>2896</v>
      </c>
      <c r="B284" s="102">
        <v>3</v>
      </c>
      <c r="C284" s="118">
        <v>0.0015219714891077365</v>
      </c>
      <c r="D284" s="102" t="s">
        <v>3110</v>
      </c>
      <c r="E284" s="102" t="b">
        <v>0</v>
      </c>
      <c r="F284" s="102" t="b">
        <v>0</v>
      </c>
      <c r="G284" s="102" t="b">
        <v>0</v>
      </c>
    </row>
    <row r="285" spans="1:7" ht="15">
      <c r="A285" s="97" t="s">
        <v>2897</v>
      </c>
      <c r="B285" s="102">
        <v>3</v>
      </c>
      <c r="C285" s="118">
        <v>0.0015219714891077365</v>
      </c>
      <c r="D285" s="102" t="s">
        <v>3110</v>
      </c>
      <c r="E285" s="102" t="b">
        <v>0</v>
      </c>
      <c r="F285" s="102" t="b">
        <v>0</v>
      </c>
      <c r="G285" s="102" t="b">
        <v>0</v>
      </c>
    </row>
    <row r="286" spans="1:7" ht="15">
      <c r="A286" s="97" t="s">
        <v>2898</v>
      </c>
      <c r="B286" s="102">
        <v>3</v>
      </c>
      <c r="C286" s="118">
        <v>0.0016612474651602133</v>
      </c>
      <c r="D286" s="102" t="s">
        <v>3110</v>
      </c>
      <c r="E286" s="102" t="b">
        <v>0</v>
      </c>
      <c r="F286" s="102" t="b">
        <v>0</v>
      </c>
      <c r="G286" s="102" t="b">
        <v>0</v>
      </c>
    </row>
    <row r="287" spans="1:7" ht="15">
      <c r="A287" s="97" t="s">
        <v>2899</v>
      </c>
      <c r="B287" s="102">
        <v>3</v>
      </c>
      <c r="C287" s="118">
        <v>0.0015219714891077365</v>
      </c>
      <c r="D287" s="102" t="s">
        <v>3110</v>
      </c>
      <c r="E287" s="102" t="b">
        <v>0</v>
      </c>
      <c r="F287" s="102" t="b">
        <v>0</v>
      </c>
      <c r="G287" s="102" t="b">
        <v>0</v>
      </c>
    </row>
    <row r="288" spans="1:7" ht="15">
      <c r="A288" s="97" t="s">
        <v>454</v>
      </c>
      <c r="B288" s="102">
        <v>3</v>
      </c>
      <c r="C288" s="118">
        <v>0.0015219714891077365</v>
      </c>
      <c r="D288" s="102" t="s">
        <v>3110</v>
      </c>
      <c r="E288" s="102" t="b">
        <v>0</v>
      </c>
      <c r="F288" s="102" t="b">
        <v>0</v>
      </c>
      <c r="G288" s="102" t="b">
        <v>0</v>
      </c>
    </row>
    <row r="289" spans="1:7" ht="15">
      <c r="A289" s="97" t="s">
        <v>2900</v>
      </c>
      <c r="B289" s="102">
        <v>3</v>
      </c>
      <c r="C289" s="118">
        <v>0.0015219714891077365</v>
      </c>
      <c r="D289" s="102" t="s">
        <v>3110</v>
      </c>
      <c r="E289" s="102" t="b">
        <v>0</v>
      </c>
      <c r="F289" s="102" t="b">
        <v>0</v>
      </c>
      <c r="G289" s="102" t="b">
        <v>0</v>
      </c>
    </row>
    <row r="290" spans="1:7" ht="15">
      <c r="A290" s="97" t="s">
        <v>2901</v>
      </c>
      <c r="B290" s="102">
        <v>3</v>
      </c>
      <c r="C290" s="118">
        <v>0.0015219714891077365</v>
      </c>
      <c r="D290" s="102" t="s">
        <v>3110</v>
      </c>
      <c r="E290" s="102" t="b">
        <v>0</v>
      </c>
      <c r="F290" s="102" t="b">
        <v>0</v>
      </c>
      <c r="G290" s="102" t="b">
        <v>0</v>
      </c>
    </row>
    <row r="291" spans="1:7" ht="15">
      <c r="A291" s="97" t="s">
        <v>2902</v>
      </c>
      <c r="B291" s="102">
        <v>3</v>
      </c>
      <c r="C291" s="118">
        <v>0.0015219714891077365</v>
      </c>
      <c r="D291" s="102" t="s">
        <v>3110</v>
      </c>
      <c r="E291" s="102" t="b">
        <v>0</v>
      </c>
      <c r="F291" s="102" t="b">
        <v>0</v>
      </c>
      <c r="G291" s="102" t="b">
        <v>0</v>
      </c>
    </row>
    <row r="292" spans="1:7" ht="15">
      <c r="A292" s="97" t="s">
        <v>2903</v>
      </c>
      <c r="B292" s="102">
        <v>3</v>
      </c>
      <c r="C292" s="118">
        <v>0.0015219714891077365</v>
      </c>
      <c r="D292" s="102" t="s">
        <v>3110</v>
      </c>
      <c r="E292" s="102" t="b">
        <v>0</v>
      </c>
      <c r="F292" s="102" t="b">
        <v>0</v>
      </c>
      <c r="G292" s="102" t="b">
        <v>0</v>
      </c>
    </row>
    <row r="293" spans="1:7" ht="15">
      <c r="A293" s="97" t="s">
        <v>2904</v>
      </c>
      <c r="B293" s="102">
        <v>3</v>
      </c>
      <c r="C293" s="118">
        <v>0.0015219714891077365</v>
      </c>
      <c r="D293" s="102" t="s">
        <v>3110</v>
      </c>
      <c r="E293" s="102" t="b">
        <v>0</v>
      </c>
      <c r="F293" s="102" t="b">
        <v>0</v>
      </c>
      <c r="G293" s="102" t="b">
        <v>0</v>
      </c>
    </row>
    <row r="294" spans="1:7" ht="15">
      <c r="A294" s="97" t="s">
        <v>2905</v>
      </c>
      <c r="B294" s="102">
        <v>3</v>
      </c>
      <c r="C294" s="118">
        <v>0.0015219714891077365</v>
      </c>
      <c r="D294" s="102" t="s">
        <v>3110</v>
      </c>
      <c r="E294" s="102" t="b">
        <v>0</v>
      </c>
      <c r="F294" s="102" t="b">
        <v>0</v>
      </c>
      <c r="G294" s="102" t="b">
        <v>0</v>
      </c>
    </row>
    <row r="295" spans="1:7" ht="15">
      <c r="A295" s="97" t="s">
        <v>2906</v>
      </c>
      <c r="B295" s="102">
        <v>3</v>
      </c>
      <c r="C295" s="118">
        <v>0.0015219714891077365</v>
      </c>
      <c r="D295" s="102" t="s">
        <v>3110</v>
      </c>
      <c r="E295" s="102" t="b">
        <v>0</v>
      </c>
      <c r="F295" s="102" t="b">
        <v>0</v>
      </c>
      <c r="G295" s="102" t="b">
        <v>0</v>
      </c>
    </row>
    <row r="296" spans="1:7" ht="15">
      <c r="A296" s="97" t="s">
        <v>2907</v>
      </c>
      <c r="B296" s="102">
        <v>3</v>
      </c>
      <c r="C296" s="118">
        <v>0.0015219714891077365</v>
      </c>
      <c r="D296" s="102" t="s">
        <v>3110</v>
      </c>
      <c r="E296" s="102" t="b">
        <v>0</v>
      </c>
      <c r="F296" s="102" t="b">
        <v>0</v>
      </c>
      <c r="G296" s="102" t="b">
        <v>0</v>
      </c>
    </row>
    <row r="297" spans="1:7" ht="15">
      <c r="A297" s="97" t="s">
        <v>2908</v>
      </c>
      <c r="B297" s="102">
        <v>3</v>
      </c>
      <c r="C297" s="118">
        <v>0.0015219714891077365</v>
      </c>
      <c r="D297" s="102" t="s">
        <v>3110</v>
      </c>
      <c r="E297" s="102" t="b">
        <v>0</v>
      </c>
      <c r="F297" s="102" t="b">
        <v>0</v>
      </c>
      <c r="G297" s="102" t="b">
        <v>0</v>
      </c>
    </row>
    <row r="298" spans="1:7" ht="15">
      <c r="A298" s="97" t="s">
        <v>2909</v>
      </c>
      <c r="B298" s="102">
        <v>3</v>
      </c>
      <c r="C298" s="118">
        <v>0.0015219714891077365</v>
      </c>
      <c r="D298" s="102" t="s">
        <v>3110</v>
      </c>
      <c r="E298" s="102" t="b">
        <v>0</v>
      </c>
      <c r="F298" s="102" t="b">
        <v>0</v>
      </c>
      <c r="G298" s="102" t="b">
        <v>0</v>
      </c>
    </row>
    <row r="299" spans="1:7" ht="15">
      <c r="A299" s="97" t="s">
        <v>2910</v>
      </c>
      <c r="B299" s="102">
        <v>3</v>
      </c>
      <c r="C299" s="118">
        <v>0.0015219714891077365</v>
      </c>
      <c r="D299" s="102" t="s">
        <v>3110</v>
      </c>
      <c r="E299" s="102" t="b">
        <v>0</v>
      </c>
      <c r="F299" s="102" t="b">
        <v>0</v>
      </c>
      <c r="G299" s="102" t="b">
        <v>0</v>
      </c>
    </row>
    <row r="300" spans="1:7" ht="15">
      <c r="A300" s="97" t="s">
        <v>421</v>
      </c>
      <c r="B300" s="102">
        <v>3</v>
      </c>
      <c r="C300" s="118">
        <v>0.0015219714891077365</v>
      </c>
      <c r="D300" s="102" t="s">
        <v>3110</v>
      </c>
      <c r="E300" s="102" t="b">
        <v>0</v>
      </c>
      <c r="F300" s="102" t="b">
        <v>0</v>
      </c>
      <c r="G300" s="102" t="b">
        <v>0</v>
      </c>
    </row>
    <row r="301" spans="1:7" ht="15">
      <c r="A301" s="97" t="s">
        <v>422</v>
      </c>
      <c r="B301" s="102">
        <v>3</v>
      </c>
      <c r="C301" s="118">
        <v>0.0015219714891077365</v>
      </c>
      <c r="D301" s="102" t="s">
        <v>3110</v>
      </c>
      <c r="E301" s="102" t="b">
        <v>0</v>
      </c>
      <c r="F301" s="102" t="b">
        <v>0</v>
      </c>
      <c r="G301" s="102" t="b">
        <v>0</v>
      </c>
    </row>
    <row r="302" spans="1:7" ht="15">
      <c r="A302" s="97" t="s">
        <v>2911</v>
      </c>
      <c r="B302" s="102">
        <v>3</v>
      </c>
      <c r="C302" s="118">
        <v>0.0015219714891077365</v>
      </c>
      <c r="D302" s="102" t="s">
        <v>3110</v>
      </c>
      <c r="E302" s="102" t="b">
        <v>0</v>
      </c>
      <c r="F302" s="102" t="b">
        <v>0</v>
      </c>
      <c r="G302" s="102" t="b">
        <v>0</v>
      </c>
    </row>
    <row r="303" spans="1:7" ht="15">
      <c r="A303" s="97" t="s">
        <v>2912</v>
      </c>
      <c r="B303" s="102">
        <v>3</v>
      </c>
      <c r="C303" s="118">
        <v>0.0015219714891077365</v>
      </c>
      <c r="D303" s="102" t="s">
        <v>3110</v>
      </c>
      <c r="E303" s="102" t="b">
        <v>0</v>
      </c>
      <c r="F303" s="102" t="b">
        <v>0</v>
      </c>
      <c r="G303" s="102" t="b">
        <v>0</v>
      </c>
    </row>
    <row r="304" spans="1:7" ht="15">
      <c r="A304" s="97" t="s">
        <v>2913</v>
      </c>
      <c r="B304" s="102">
        <v>3</v>
      </c>
      <c r="C304" s="118">
        <v>0.0015219714891077365</v>
      </c>
      <c r="D304" s="102" t="s">
        <v>3110</v>
      </c>
      <c r="E304" s="102" t="b">
        <v>0</v>
      </c>
      <c r="F304" s="102" t="b">
        <v>0</v>
      </c>
      <c r="G304" s="102" t="b">
        <v>0</v>
      </c>
    </row>
    <row r="305" spans="1:7" ht="15">
      <c r="A305" s="97" t="s">
        <v>2914</v>
      </c>
      <c r="B305" s="102">
        <v>3</v>
      </c>
      <c r="C305" s="118">
        <v>0.0015219714891077365</v>
      </c>
      <c r="D305" s="102" t="s">
        <v>3110</v>
      </c>
      <c r="E305" s="102" t="b">
        <v>0</v>
      </c>
      <c r="F305" s="102" t="b">
        <v>0</v>
      </c>
      <c r="G305" s="102" t="b">
        <v>0</v>
      </c>
    </row>
    <row r="306" spans="1:7" ht="15">
      <c r="A306" s="97" t="s">
        <v>2915</v>
      </c>
      <c r="B306" s="102">
        <v>3</v>
      </c>
      <c r="C306" s="118">
        <v>0.0015219714891077365</v>
      </c>
      <c r="D306" s="102" t="s">
        <v>3110</v>
      </c>
      <c r="E306" s="102" t="b">
        <v>0</v>
      </c>
      <c r="F306" s="102" t="b">
        <v>0</v>
      </c>
      <c r="G306" s="102" t="b">
        <v>0</v>
      </c>
    </row>
    <row r="307" spans="1:7" ht="15">
      <c r="A307" s="97" t="s">
        <v>2916</v>
      </c>
      <c r="B307" s="102">
        <v>3</v>
      </c>
      <c r="C307" s="118">
        <v>0.0015219714891077365</v>
      </c>
      <c r="D307" s="102" t="s">
        <v>3110</v>
      </c>
      <c r="E307" s="102" t="b">
        <v>0</v>
      </c>
      <c r="F307" s="102" t="b">
        <v>0</v>
      </c>
      <c r="G307" s="102" t="b">
        <v>0</v>
      </c>
    </row>
    <row r="308" spans="1:7" ht="15">
      <c r="A308" s="97" t="s">
        <v>2917</v>
      </c>
      <c r="B308" s="102">
        <v>3</v>
      </c>
      <c r="C308" s="118">
        <v>0.0015219714891077365</v>
      </c>
      <c r="D308" s="102" t="s">
        <v>3110</v>
      </c>
      <c r="E308" s="102" t="b">
        <v>0</v>
      </c>
      <c r="F308" s="102" t="b">
        <v>0</v>
      </c>
      <c r="G308" s="102" t="b">
        <v>0</v>
      </c>
    </row>
    <row r="309" spans="1:7" ht="15">
      <c r="A309" s="97" t="s">
        <v>2918</v>
      </c>
      <c r="B309" s="102">
        <v>3</v>
      </c>
      <c r="C309" s="118">
        <v>0.0015219714891077365</v>
      </c>
      <c r="D309" s="102" t="s">
        <v>3110</v>
      </c>
      <c r="E309" s="102" t="b">
        <v>0</v>
      </c>
      <c r="F309" s="102" t="b">
        <v>0</v>
      </c>
      <c r="G309" s="102" t="b">
        <v>0</v>
      </c>
    </row>
    <row r="310" spans="1:7" ht="15">
      <c r="A310" s="97" t="s">
        <v>2919</v>
      </c>
      <c r="B310" s="102">
        <v>3</v>
      </c>
      <c r="C310" s="118">
        <v>0.0015219714891077365</v>
      </c>
      <c r="D310" s="102" t="s">
        <v>3110</v>
      </c>
      <c r="E310" s="102" t="b">
        <v>0</v>
      </c>
      <c r="F310" s="102" t="b">
        <v>0</v>
      </c>
      <c r="G310" s="102" t="b">
        <v>0</v>
      </c>
    </row>
    <row r="311" spans="1:7" ht="15">
      <c r="A311" s="97" t="s">
        <v>2920</v>
      </c>
      <c r="B311" s="102">
        <v>3</v>
      </c>
      <c r="C311" s="118">
        <v>0.0015219714891077365</v>
      </c>
      <c r="D311" s="102" t="s">
        <v>3110</v>
      </c>
      <c r="E311" s="102" t="b">
        <v>0</v>
      </c>
      <c r="F311" s="102" t="b">
        <v>0</v>
      </c>
      <c r="G311" s="102" t="b">
        <v>0</v>
      </c>
    </row>
    <row r="312" spans="1:7" ht="15">
      <c r="A312" s="97" t="s">
        <v>2921</v>
      </c>
      <c r="B312" s="102">
        <v>3</v>
      </c>
      <c r="C312" s="118">
        <v>0.0015219714891077365</v>
      </c>
      <c r="D312" s="102" t="s">
        <v>3110</v>
      </c>
      <c r="E312" s="102" t="b">
        <v>0</v>
      </c>
      <c r="F312" s="102" t="b">
        <v>0</v>
      </c>
      <c r="G312" s="102" t="b">
        <v>0</v>
      </c>
    </row>
    <row r="313" spans="1:7" ht="15">
      <c r="A313" s="97" t="s">
        <v>2922</v>
      </c>
      <c r="B313" s="102">
        <v>3</v>
      </c>
      <c r="C313" s="118">
        <v>0.0015219714891077365</v>
      </c>
      <c r="D313" s="102" t="s">
        <v>3110</v>
      </c>
      <c r="E313" s="102" t="b">
        <v>0</v>
      </c>
      <c r="F313" s="102" t="b">
        <v>0</v>
      </c>
      <c r="G313" s="102" t="b">
        <v>0</v>
      </c>
    </row>
    <row r="314" spans="1:7" ht="15">
      <c r="A314" s="97" t="s">
        <v>2923</v>
      </c>
      <c r="B314" s="102">
        <v>3</v>
      </c>
      <c r="C314" s="118">
        <v>0.0015219714891077365</v>
      </c>
      <c r="D314" s="102" t="s">
        <v>3110</v>
      </c>
      <c r="E314" s="102" t="b">
        <v>0</v>
      </c>
      <c r="F314" s="102" t="b">
        <v>0</v>
      </c>
      <c r="G314" s="102" t="b">
        <v>0</v>
      </c>
    </row>
    <row r="315" spans="1:7" ht="15">
      <c r="A315" s="97" t="s">
        <v>2924</v>
      </c>
      <c r="B315" s="102">
        <v>3</v>
      </c>
      <c r="C315" s="118">
        <v>0.0015219714891077365</v>
      </c>
      <c r="D315" s="102" t="s">
        <v>3110</v>
      </c>
      <c r="E315" s="102" t="b">
        <v>0</v>
      </c>
      <c r="F315" s="102" t="b">
        <v>0</v>
      </c>
      <c r="G315" s="102" t="b">
        <v>0</v>
      </c>
    </row>
    <row r="316" spans="1:7" ht="15">
      <c r="A316" s="97" t="s">
        <v>2925</v>
      </c>
      <c r="B316" s="102">
        <v>3</v>
      </c>
      <c r="C316" s="118">
        <v>0.0015219714891077365</v>
      </c>
      <c r="D316" s="102" t="s">
        <v>3110</v>
      </c>
      <c r="E316" s="102" t="b">
        <v>0</v>
      </c>
      <c r="F316" s="102" t="b">
        <v>0</v>
      </c>
      <c r="G316" s="102" t="b">
        <v>0</v>
      </c>
    </row>
    <row r="317" spans="1:7" ht="15">
      <c r="A317" s="97" t="s">
        <v>2926</v>
      </c>
      <c r="B317" s="102">
        <v>3</v>
      </c>
      <c r="C317" s="118">
        <v>0.0015219714891077365</v>
      </c>
      <c r="D317" s="102" t="s">
        <v>3110</v>
      </c>
      <c r="E317" s="102" t="b">
        <v>0</v>
      </c>
      <c r="F317" s="102" t="b">
        <v>0</v>
      </c>
      <c r="G317" s="102" t="b">
        <v>0</v>
      </c>
    </row>
    <row r="318" spans="1:7" ht="15">
      <c r="A318" s="97" t="s">
        <v>386</v>
      </c>
      <c r="B318" s="102">
        <v>3</v>
      </c>
      <c r="C318" s="118">
        <v>0.0015219714891077365</v>
      </c>
      <c r="D318" s="102" t="s">
        <v>3110</v>
      </c>
      <c r="E318" s="102" t="b">
        <v>0</v>
      </c>
      <c r="F318" s="102" t="b">
        <v>0</v>
      </c>
      <c r="G318" s="102" t="b">
        <v>0</v>
      </c>
    </row>
    <row r="319" spans="1:7" ht="15">
      <c r="A319" s="97" t="s">
        <v>2927</v>
      </c>
      <c r="B319" s="102">
        <v>3</v>
      </c>
      <c r="C319" s="118">
        <v>0.0015219714891077365</v>
      </c>
      <c r="D319" s="102" t="s">
        <v>3110</v>
      </c>
      <c r="E319" s="102" t="b">
        <v>0</v>
      </c>
      <c r="F319" s="102" t="b">
        <v>0</v>
      </c>
      <c r="G319" s="102" t="b">
        <v>0</v>
      </c>
    </row>
    <row r="320" spans="1:7" ht="15">
      <c r="A320" s="97" t="s">
        <v>2928</v>
      </c>
      <c r="B320" s="102">
        <v>3</v>
      </c>
      <c r="C320" s="118">
        <v>0.0015219714891077365</v>
      </c>
      <c r="D320" s="102" t="s">
        <v>3110</v>
      </c>
      <c r="E320" s="102" t="b">
        <v>0</v>
      </c>
      <c r="F320" s="102" t="b">
        <v>0</v>
      </c>
      <c r="G320" s="102" t="b">
        <v>0</v>
      </c>
    </row>
    <row r="321" spans="1:7" ht="15">
      <c r="A321" s="97" t="s">
        <v>2929</v>
      </c>
      <c r="B321" s="102">
        <v>3</v>
      </c>
      <c r="C321" s="118">
        <v>0.0015219714891077365</v>
      </c>
      <c r="D321" s="102" t="s">
        <v>3110</v>
      </c>
      <c r="E321" s="102" t="b">
        <v>0</v>
      </c>
      <c r="F321" s="102" t="b">
        <v>0</v>
      </c>
      <c r="G321" s="102" t="b">
        <v>0</v>
      </c>
    </row>
    <row r="322" spans="1:7" ht="15">
      <c r="A322" s="97" t="s">
        <v>2930</v>
      </c>
      <c r="B322" s="102">
        <v>3</v>
      </c>
      <c r="C322" s="118">
        <v>0.0015219714891077365</v>
      </c>
      <c r="D322" s="102" t="s">
        <v>3110</v>
      </c>
      <c r="E322" s="102" t="b">
        <v>0</v>
      </c>
      <c r="F322" s="102" t="b">
        <v>0</v>
      </c>
      <c r="G322" s="102" t="b">
        <v>0</v>
      </c>
    </row>
    <row r="323" spans="1:7" ht="15">
      <c r="A323" s="97" t="s">
        <v>2931</v>
      </c>
      <c r="B323" s="102">
        <v>2</v>
      </c>
      <c r="C323" s="118">
        <v>0.0011074983101068089</v>
      </c>
      <c r="D323" s="102" t="s">
        <v>3110</v>
      </c>
      <c r="E323" s="102" t="b">
        <v>0</v>
      </c>
      <c r="F323" s="102" t="b">
        <v>0</v>
      </c>
      <c r="G323" s="102" t="b">
        <v>0</v>
      </c>
    </row>
    <row r="324" spans="1:7" ht="15">
      <c r="A324" s="97" t="s">
        <v>2932</v>
      </c>
      <c r="B324" s="102">
        <v>2</v>
      </c>
      <c r="C324" s="118">
        <v>0.0011074983101068089</v>
      </c>
      <c r="D324" s="102" t="s">
        <v>3110</v>
      </c>
      <c r="E324" s="102" t="b">
        <v>0</v>
      </c>
      <c r="F324" s="102" t="b">
        <v>0</v>
      </c>
      <c r="G324" s="102" t="b">
        <v>0</v>
      </c>
    </row>
    <row r="325" spans="1:7" ht="15">
      <c r="A325" s="97" t="s">
        <v>384</v>
      </c>
      <c r="B325" s="102">
        <v>2</v>
      </c>
      <c r="C325" s="118">
        <v>0.0011074983101068089</v>
      </c>
      <c r="D325" s="102" t="s">
        <v>3110</v>
      </c>
      <c r="E325" s="102" t="b">
        <v>0</v>
      </c>
      <c r="F325" s="102" t="b">
        <v>0</v>
      </c>
      <c r="G325" s="102" t="b">
        <v>0</v>
      </c>
    </row>
    <row r="326" spans="1:7" ht="15">
      <c r="A326" s="97" t="s">
        <v>2933</v>
      </c>
      <c r="B326" s="102">
        <v>2</v>
      </c>
      <c r="C326" s="118">
        <v>0.0011074983101068089</v>
      </c>
      <c r="D326" s="102" t="s">
        <v>3110</v>
      </c>
      <c r="E326" s="102" t="b">
        <v>0</v>
      </c>
      <c r="F326" s="102" t="b">
        <v>0</v>
      </c>
      <c r="G326" s="102" t="b">
        <v>0</v>
      </c>
    </row>
    <row r="327" spans="1:7" ht="15">
      <c r="A327" s="97" t="s">
        <v>2934</v>
      </c>
      <c r="B327" s="102">
        <v>2</v>
      </c>
      <c r="C327" s="118">
        <v>0.0012662275458906113</v>
      </c>
      <c r="D327" s="102" t="s">
        <v>3110</v>
      </c>
      <c r="E327" s="102" t="b">
        <v>0</v>
      </c>
      <c r="F327" s="102" t="b">
        <v>0</v>
      </c>
      <c r="G327" s="102" t="b">
        <v>0</v>
      </c>
    </row>
    <row r="328" spans="1:7" ht="15">
      <c r="A328" s="97" t="s">
        <v>2935</v>
      </c>
      <c r="B328" s="102">
        <v>2</v>
      </c>
      <c r="C328" s="118">
        <v>0.0011074983101068089</v>
      </c>
      <c r="D328" s="102" t="s">
        <v>3110</v>
      </c>
      <c r="E328" s="102" t="b">
        <v>0</v>
      </c>
      <c r="F328" s="102" t="b">
        <v>0</v>
      </c>
      <c r="G328" s="102" t="b">
        <v>0</v>
      </c>
    </row>
    <row r="329" spans="1:7" ht="15">
      <c r="A329" s="97" t="s">
        <v>2936</v>
      </c>
      <c r="B329" s="102">
        <v>2</v>
      </c>
      <c r="C329" s="118">
        <v>0.0011074983101068089</v>
      </c>
      <c r="D329" s="102" t="s">
        <v>3110</v>
      </c>
      <c r="E329" s="102" t="b">
        <v>0</v>
      </c>
      <c r="F329" s="102" t="b">
        <v>0</v>
      </c>
      <c r="G329" s="102" t="b">
        <v>0</v>
      </c>
    </row>
    <row r="330" spans="1:7" ht="15">
      <c r="A330" s="97" t="s">
        <v>2937</v>
      </c>
      <c r="B330" s="102">
        <v>2</v>
      </c>
      <c r="C330" s="118">
        <v>0.0011074983101068089</v>
      </c>
      <c r="D330" s="102" t="s">
        <v>3110</v>
      </c>
      <c r="E330" s="102" t="b">
        <v>0</v>
      </c>
      <c r="F330" s="102" t="b">
        <v>0</v>
      </c>
      <c r="G330" s="102" t="b">
        <v>0</v>
      </c>
    </row>
    <row r="331" spans="1:7" ht="15">
      <c r="A331" s="97" t="s">
        <v>2938</v>
      </c>
      <c r="B331" s="102">
        <v>2</v>
      </c>
      <c r="C331" s="118">
        <v>0.0011074983101068089</v>
      </c>
      <c r="D331" s="102" t="s">
        <v>3110</v>
      </c>
      <c r="E331" s="102" t="b">
        <v>0</v>
      </c>
      <c r="F331" s="102" t="b">
        <v>0</v>
      </c>
      <c r="G331" s="102" t="b">
        <v>0</v>
      </c>
    </row>
    <row r="332" spans="1:7" ht="15">
      <c r="A332" s="97" t="s">
        <v>2939</v>
      </c>
      <c r="B332" s="102">
        <v>2</v>
      </c>
      <c r="C332" s="118">
        <v>0.0011074983101068089</v>
      </c>
      <c r="D332" s="102" t="s">
        <v>3110</v>
      </c>
      <c r="E332" s="102" t="b">
        <v>0</v>
      </c>
      <c r="F332" s="102" t="b">
        <v>0</v>
      </c>
      <c r="G332" s="102" t="b">
        <v>0</v>
      </c>
    </row>
    <row r="333" spans="1:7" ht="15">
      <c r="A333" s="97" t="s">
        <v>2940</v>
      </c>
      <c r="B333" s="102">
        <v>2</v>
      </c>
      <c r="C333" s="118">
        <v>0.0011074983101068089</v>
      </c>
      <c r="D333" s="102" t="s">
        <v>3110</v>
      </c>
      <c r="E333" s="102" t="b">
        <v>0</v>
      </c>
      <c r="F333" s="102" t="b">
        <v>0</v>
      </c>
      <c r="G333" s="102" t="b">
        <v>0</v>
      </c>
    </row>
    <row r="334" spans="1:7" ht="15">
      <c r="A334" s="97" t="s">
        <v>2941</v>
      </c>
      <c r="B334" s="102">
        <v>2</v>
      </c>
      <c r="C334" s="118">
        <v>0.0011074983101068089</v>
      </c>
      <c r="D334" s="102" t="s">
        <v>3110</v>
      </c>
      <c r="E334" s="102" t="b">
        <v>0</v>
      </c>
      <c r="F334" s="102" t="b">
        <v>0</v>
      </c>
      <c r="G334" s="102" t="b">
        <v>0</v>
      </c>
    </row>
    <row r="335" spans="1:7" ht="15">
      <c r="A335" s="97" t="s">
        <v>2942</v>
      </c>
      <c r="B335" s="102">
        <v>2</v>
      </c>
      <c r="C335" s="118">
        <v>0.0011074983101068089</v>
      </c>
      <c r="D335" s="102" t="s">
        <v>3110</v>
      </c>
      <c r="E335" s="102" t="b">
        <v>0</v>
      </c>
      <c r="F335" s="102" t="b">
        <v>0</v>
      </c>
      <c r="G335" s="102" t="b">
        <v>0</v>
      </c>
    </row>
    <row r="336" spans="1:7" ht="15">
      <c r="A336" s="97" t="s">
        <v>2943</v>
      </c>
      <c r="B336" s="102">
        <v>2</v>
      </c>
      <c r="C336" s="118">
        <v>0.0011074983101068089</v>
      </c>
      <c r="D336" s="102" t="s">
        <v>3110</v>
      </c>
      <c r="E336" s="102" t="b">
        <v>0</v>
      </c>
      <c r="F336" s="102" t="b">
        <v>0</v>
      </c>
      <c r="G336" s="102" t="b">
        <v>0</v>
      </c>
    </row>
    <row r="337" spans="1:7" ht="15">
      <c r="A337" s="97" t="s">
        <v>2944</v>
      </c>
      <c r="B337" s="102">
        <v>2</v>
      </c>
      <c r="C337" s="118">
        <v>0.0011074983101068089</v>
      </c>
      <c r="D337" s="102" t="s">
        <v>3110</v>
      </c>
      <c r="E337" s="102" t="b">
        <v>0</v>
      </c>
      <c r="F337" s="102" t="b">
        <v>0</v>
      </c>
      <c r="G337" s="102" t="b">
        <v>0</v>
      </c>
    </row>
    <row r="338" spans="1:7" ht="15">
      <c r="A338" s="97" t="s">
        <v>2945</v>
      </c>
      <c r="B338" s="102">
        <v>2</v>
      </c>
      <c r="C338" s="118">
        <v>0.0011074983101068089</v>
      </c>
      <c r="D338" s="102" t="s">
        <v>3110</v>
      </c>
      <c r="E338" s="102" t="b">
        <v>0</v>
      </c>
      <c r="F338" s="102" t="b">
        <v>0</v>
      </c>
      <c r="G338" s="102" t="b">
        <v>0</v>
      </c>
    </row>
    <row r="339" spans="1:7" ht="15">
      <c r="A339" s="97" t="s">
        <v>2946</v>
      </c>
      <c r="B339" s="102">
        <v>2</v>
      </c>
      <c r="C339" s="118">
        <v>0.0011074983101068089</v>
      </c>
      <c r="D339" s="102" t="s">
        <v>3110</v>
      </c>
      <c r="E339" s="102" t="b">
        <v>0</v>
      </c>
      <c r="F339" s="102" t="b">
        <v>0</v>
      </c>
      <c r="G339" s="102" t="b">
        <v>0</v>
      </c>
    </row>
    <row r="340" spans="1:7" ht="15">
      <c r="A340" s="97" t="s">
        <v>2947</v>
      </c>
      <c r="B340" s="102">
        <v>2</v>
      </c>
      <c r="C340" s="118">
        <v>0.0012662275458906113</v>
      </c>
      <c r="D340" s="102" t="s">
        <v>3110</v>
      </c>
      <c r="E340" s="102" t="b">
        <v>0</v>
      </c>
      <c r="F340" s="102" t="b">
        <v>0</v>
      </c>
      <c r="G340" s="102" t="b">
        <v>0</v>
      </c>
    </row>
    <row r="341" spans="1:7" ht="15">
      <c r="A341" s="97" t="s">
        <v>2948</v>
      </c>
      <c r="B341" s="102">
        <v>2</v>
      </c>
      <c r="C341" s="118">
        <v>0.0011074983101068089</v>
      </c>
      <c r="D341" s="102" t="s">
        <v>3110</v>
      </c>
      <c r="E341" s="102" t="b">
        <v>0</v>
      </c>
      <c r="F341" s="102" t="b">
        <v>0</v>
      </c>
      <c r="G341" s="102" t="b">
        <v>0</v>
      </c>
    </row>
    <row r="342" spans="1:7" ht="15">
      <c r="A342" s="97" t="s">
        <v>2949</v>
      </c>
      <c r="B342" s="102">
        <v>2</v>
      </c>
      <c r="C342" s="118">
        <v>0.0011074983101068089</v>
      </c>
      <c r="D342" s="102" t="s">
        <v>3110</v>
      </c>
      <c r="E342" s="102" t="b">
        <v>0</v>
      </c>
      <c r="F342" s="102" t="b">
        <v>0</v>
      </c>
      <c r="G342" s="102" t="b">
        <v>0</v>
      </c>
    </row>
    <row r="343" spans="1:7" ht="15">
      <c r="A343" s="97" t="s">
        <v>2950</v>
      </c>
      <c r="B343" s="102">
        <v>2</v>
      </c>
      <c r="C343" s="118">
        <v>0.0011074983101068089</v>
      </c>
      <c r="D343" s="102" t="s">
        <v>3110</v>
      </c>
      <c r="E343" s="102" t="b">
        <v>0</v>
      </c>
      <c r="F343" s="102" t="b">
        <v>0</v>
      </c>
      <c r="G343" s="102" t="b">
        <v>0</v>
      </c>
    </row>
    <row r="344" spans="1:7" ht="15">
      <c r="A344" s="97" t="s">
        <v>2951</v>
      </c>
      <c r="B344" s="102">
        <v>2</v>
      </c>
      <c r="C344" s="118">
        <v>0.0011074983101068089</v>
      </c>
      <c r="D344" s="102" t="s">
        <v>3110</v>
      </c>
      <c r="E344" s="102" t="b">
        <v>0</v>
      </c>
      <c r="F344" s="102" t="b">
        <v>0</v>
      </c>
      <c r="G344" s="102" t="b">
        <v>0</v>
      </c>
    </row>
    <row r="345" spans="1:7" ht="15">
      <c r="A345" s="97" t="s">
        <v>2952</v>
      </c>
      <c r="B345" s="102">
        <v>2</v>
      </c>
      <c r="C345" s="118">
        <v>0.0011074983101068089</v>
      </c>
      <c r="D345" s="102" t="s">
        <v>3110</v>
      </c>
      <c r="E345" s="102" t="b">
        <v>0</v>
      </c>
      <c r="F345" s="102" t="b">
        <v>0</v>
      </c>
      <c r="G345" s="102" t="b">
        <v>0</v>
      </c>
    </row>
    <row r="346" spans="1:7" ht="15">
      <c r="A346" s="97" t="s">
        <v>500</v>
      </c>
      <c r="B346" s="102">
        <v>2</v>
      </c>
      <c r="C346" s="118">
        <v>0.0011074983101068089</v>
      </c>
      <c r="D346" s="102" t="s">
        <v>3110</v>
      </c>
      <c r="E346" s="102" t="b">
        <v>0</v>
      </c>
      <c r="F346" s="102" t="b">
        <v>0</v>
      </c>
      <c r="G346" s="102" t="b">
        <v>0</v>
      </c>
    </row>
    <row r="347" spans="1:7" ht="15">
      <c r="A347" s="97" t="s">
        <v>350</v>
      </c>
      <c r="B347" s="102">
        <v>2</v>
      </c>
      <c r="C347" s="118">
        <v>0.0011074983101068089</v>
      </c>
      <c r="D347" s="102" t="s">
        <v>3110</v>
      </c>
      <c r="E347" s="102" t="b">
        <v>0</v>
      </c>
      <c r="F347" s="102" t="b">
        <v>0</v>
      </c>
      <c r="G347" s="102" t="b">
        <v>0</v>
      </c>
    </row>
    <row r="348" spans="1:7" ht="15">
      <c r="A348" s="97" t="s">
        <v>499</v>
      </c>
      <c r="B348" s="102">
        <v>2</v>
      </c>
      <c r="C348" s="118">
        <v>0.0011074983101068089</v>
      </c>
      <c r="D348" s="102" t="s">
        <v>3110</v>
      </c>
      <c r="E348" s="102" t="b">
        <v>0</v>
      </c>
      <c r="F348" s="102" t="b">
        <v>0</v>
      </c>
      <c r="G348" s="102" t="b">
        <v>0</v>
      </c>
    </row>
    <row r="349" spans="1:7" ht="15">
      <c r="A349" s="97" t="s">
        <v>498</v>
      </c>
      <c r="B349" s="102">
        <v>2</v>
      </c>
      <c r="C349" s="118">
        <v>0.0011074983101068089</v>
      </c>
      <c r="D349" s="102" t="s">
        <v>3110</v>
      </c>
      <c r="E349" s="102" t="b">
        <v>0</v>
      </c>
      <c r="F349" s="102" t="b">
        <v>0</v>
      </c>
      <c r="G349" s="102" t="b">
        <v>0</v>
      </c>
    </row>
    <row r="350" spans="1:7" ht="15">
      <c r="A350" s="97" t="s">
        <v>2953</v>
      </c>
      <c r="B350" s="102">
        <v>2</v>
      </c>
      <c r="C350" s="118">
        <v>0.0011074983101068089</v>
      </c>
      <c r="D350" s="102" t="s">
        <v>3110</v>
      </c>
      <c r="E350" s="102" t="b">
        <v>0</v>
      </c>
      <c r="F350" s="102" t="b">
        <v>0</v>
      </c>
      <c r="G350" s="102" t="b">
        <v>0</v>
      </c>
    </row>
    <row r="351" spans="1:7" ht="15">
      <c r="A351" s="97" t="s">
        <v>2954</v>
      </c>
      <c r="B351" s="102">
        <v>2</v>
      </c>
      <c r="C351" s="118">
        <v>0.0011074983101068089</v>
      </c>
      <c r="D351" s="102" t="s">
        <v>3110</v>
      </c>
      <c r="E351" s="102" t="b">
        <v>0</v>
      </c>
      <c r="F351" s="102" t="b">
        <v>0</v>
      </c>
      <c r="G351" s="102" t="b">
        <v>0</v>
      </c>
    </row>
    <row r="352" spans="1:7" ht="15">
      <c r="A352" s="97" t="s">
        <v>2955</v>
      </c>
      <c r="B352" s="102">
        <v>2</v>
      </c>
      <c r="C352" s="118">
        <v>0.0011074983101068089</v>
      </c>
      <c r="D352" s="102" t="s">
        <v>3110</v>
      </c>
      <c r="E352" s="102" t="b">
        <v>0</v>
      </c>
      <c r="F352" s="102" t="b">
        <v>0</v>
      </c>
      <c r="G352" s="102" t="b">
        <v>0</v>
      </c>
    </row>
    <row r="353" spans="1:7" ht="15">
      <c r="A353" s="97" t="s">
        <v>2956</v>
      </c>
      <c r="B353" s="102">
        <v>2</v>
      </c>
      <c r="C353" s="118">
        <v>0.0011074983101068089</v>
      </c>
      <c r="D353" s="102" t="s">
        <v>3110</v>
      </c>
      <c r="E353" s="102" t="b">
        <v>0</v>
      </c>
      <c r="F353" s="102" t="b">
        <v>0</v>
      </c>
      <c r="G353" s="102" t="b">
        <v>0</v>
      </c>
    </row>
    <row r="354" spans="1:7" ht="15">
      <c r="A354" s="97" t="s">
        <v>2957</v>
      </c>
      <c r="B354" s="102">
        <v>2</v>
      </c>
      <c r="C354" s="118">
        <v>0.0011074983101068089</v>
      </c>
      <c r="D354" s="102" t="s">
        <v>3110</v>
      </c>
      <c r="E354" s="102" t="b">
        <v>0</v>
      </c>
      <c r="F354" s="102" t="b">
        <v>0</v>
      </c>
      <c r="G354" s="102" t="b">
        <v>0</v>
      </c>
    </row>
    <row r="355" spans="1:7" ht="15">
      <c r="A355" s="97" t="s">
        <v>2958</v>
      </c>
      <c r="B355" s="102">
        <v>2</v>
      </c>
      <c r="C355" s="118">
        <v>0.0011074983101068089</v>
      </c>
      <c r="D355" s="102" t="s">
        <v>3110</v>
      </c>
      <c r="E355" s="102" t="b">
        <v>0</v>
      </c>
      <c r="F355" s="102" t="b">
        <v>0</v>
      </c>
      <c r="G355" s="102" t="b">
        <v>0</v>
      </c>
    </row>
    <row r="356" spans="1:7" ht="15">
      <c r="A356" s="97" t="s">
        <v>335</v>
      </c>
      <c r="B356" s="102">
        <v>2</v>
      </c>
      <c r="C356" s="118">
        <v>0.0011074983101068089</v>
      </c>
      <c r="D356" s="102" t="s">
        <v>3110</v>
      </c>
      <c r="E356" s="102" t="b">
        <v>0</v>
      </c>
      <c r="F356" s="102" t="b">
        <v>0</v>
      </c>
      <c r="G356" s="102" t="b">
        <v>0</v>
      </c>
    </row>
    <row r="357" spans="1:7" ht="15">
      <c r="A357" s="97" t="s">
        <v>2959</v>
      </c>
      <c r="B357" s="102">
        <v>2</v>
      </c>
      <c r="C357" s="118">
        <v>0.0011074983101068089</v>
      </c>
      <c r="D357" s="102" t="s">
        <v>3110</v>
      </c>
      <c r="E357" s="102" t="b">
        <v>0</v>
      </c>
      <c r="F357" s="102" t="b">
        <v>0</v>
      </c>
      <c r="G357" s="102" t="b">
        <v>0</v>
      </c>
    </row>
    <row r="358" spans="1:7" ht="15">
      <c r="A358" s="97" t="s">
        <v>2960</v>
      </c>
      <c r="B358" s="102">
        <v>2</v>
      </c>
      <c r="C358" s="118">
        <v>0.0011074983101068089</v>
      </c>
      <c r="D358" s="102" t="s">
        <v>3110</v>
      </c>
      <c r="E358" s="102" t="b">
        <v>0</v>
      </c>
      <c r="F358" s="102" t="b">
        <v>0</v>
      </c>
      <c r="G358" s="102" t="b">
        <v>0</v>
      </c>
    </row>
    <row r="359" spans="1:7" ht="15">
      <c r="A359" s="97" t="s">
        <v>2961</v>
      </c>
      <c r="B359" s="102">
        <v>2</v>
      </c>
      <c r="C359" s="118">
        <v>0.0011074983101068089</v>
      </c>
      <c r="D359" s="102" t="s">
        <v>3110</v>
      </c>
      <c r="E359" s="102" t="b">
        <v>0</v>
      </c>
      <c r="F359" s="102" t="b">
        <v>0</v>
      </c>
      <c r="G359" s="102" t="b">
        <v>0</v>
      </c>
    </row>
    <row r="360" spans="1:7" ht="15">
      <c r="A360" s="97" t="s">
        <v>2962</v>
      </c>
      <c r="B360" s="102">
        <v>2</v>
      </c>
      <c r="C360" s="118">
        <v>0.0011074983101068089</v>
      </c>
      <c r="D360" s="102" t="s">
        <v>3110</v>
      </c>
      <c r="E360" s="102" t="b">
        <v>0</v>
      </c>
      <c r="F360" s="102" t="b">
        <v>0</v>
      </c>
      <c r="G360" s="102" t="b">
        <v>0</v>
      </c>
    </row>
    <row r="361" spans="1:7" ht="15">
      <c r="A361" s="97" t="s">
        <v>2963</v>
      </c>
      <c r="B361" s="102">
        <v>2</v>
      </c>
      <c r="C361" s="118">
        <v>0.0011074983101068089</v>
      </c>
      <c r="D361" s="102" t="s">
        <v>3110</v>
      </c>
      <c r="E361" s="102" t="b">
        <v>0</v>
      </c>
      <c r="F361" s="102" t="b">
        <v>0</v>
      </c>
      <c r="G361" s="102" t="b">
        <v>0</v>
      </c>
    </row>
    <row r="362" spans="1:7" ht="15">
      <c r="A362" s="97" t="s">
        <v>2964</v>
      </c>
      <c r="B362" s="102">
        <v>2</v>
      </c>
      <c r="C362" s="118">
        <v>0.0011074983101068089</v>
      </c>
      <c r="D362" s="102" t="s">
        <v>3110</v>
      </c>
      <c r="E362" s="102" t="b">
        <v>0</v>
      </c>
      <c r="F362" s="102" t="b">
        <v>0</v>
      </c>
      <c r="G362" s="102" t="b">
        <v>0</v>
      </c>
    </row>
    <row r="363" spans="1:7" ht="15">
      <c r="A363" s="97" t="s">
        <v>2965</v>
      </c>
      <c r="B363" s="102">
        <v>2</v>
      </c>
      <c r="C363" s="118">
        <v>0.0011074983101068089</v>
      </c>
      <c r="D363" s="102" t="s">
        <v>3110</v>
      </c>
      <c r="E363" s="102" t="b">
        <v>0</v>
      </c>
      <c r="F363" s="102" t="b">
        <v>0</v>
      </c>
      <c r="G363" s="102" t="b">
        <v>0</v>
      </c>
    </row>
    <row r="364" spans="1:7" ht="15">
      <c r="A364" s="97" t="s">
        <v>2966</v>
      </c>
      <c r="B364" s="102">
        <v>2</v>
      </c>
      <c r="C364" s="118">
        <v>0.0011074983101068089</v>
      </c>
      <c r="D364" s="102" t="s">
        <v>3110</v>
      </c>
      <c r="E364" s="102" t="b">
        <v>0</v>
      </c>
      <c r="F364" s="102" t="b">
        <v>0</v>
      </c>
      <c r="G364" s="102" t="b">
        <v>0</v>
      </c>
    </row>
    <row r="365" spans="1:7" ht="15">
      <c r="A365" s="97" t="s">
        <v>2967</v>
      </c>
      <c r="B365" s="102">
        <v>2</v>
      </c>
      <c r="C365" s="118">
        <v>0.0011074983101068089</v>
      </c>
      <c r="D365" s="102" t="s">
        <v>3110</v>
      </c>
      <c r="E365" s="102" t="b">
        <v>0</v>
      </c>
      <c r="F365" s="102" t="b">
        <v>0</v>
      </c>
      <c r="G365" s="102" t="b">
        <v>0</v>
      </c>
    </row>
    <row r="366" spans="1:7" ht="15">
      <c r="A366" s="97" t="s">
        <v>2968</v>
      </c>
      <c r="B366" s="102">
        <v>2</v>
      </c>
      <c r="C366" s="118">
        <v>0.0011074983101068089</v>
      </c>
      <c r="D366" s="102" t="s">
        <v>3110</v>
      </c>
      <c r="E366" s="102" t="b">
        <v>0</v>
      </c>
      <c r="F366" s="102" t="b">
        <v>0</v>
      </c>
      <c r="G366" s="102" t="b">
        <v>0</v>
      </c>
    </row>
    <row r="367" spans="1:7" ht="15">
      <c r="A367" s="97" t="s">
        <v>2969</v>
      </c>
      <c r="B367" s="102">
        <v>2</v>
      </c>
      <c r="C367" s="118">
        <v>0.0011074983101068089</v>
      </c>
      <c r="D367" s="102" t="s">
        <v>3110</v>
      </c>
      <c r="E367" s="102" t="b">
        <v>0</v>
      </c>
      <c r="F367" s="102" t="b">
        <v>0</v>
      </c>
      <c r="G367" s="102" t="b">
        <v>0</v>
      </c>
    </row>
    <row r="368" spans="1:7" ht="15">
      <c r="A368" s="97" t="s">
        <v>2970</v>
      </c>
      <c r="B368" s="102">
        <v>2</v>
      </c>
      <c r="C368" s="118">
        <v>0.0011074983101068089</v>
      </c>
      <c r="D368" s="102" t="s">
        <v>3110</v>
      </c>
      <c r="E368" s="102" t="b">
        <v>0</v>
      </c>
      <c r="F368" s="102" t="b">
        <v>0</v>
      </c>
      <c r="G368" s="102" t="b">
        <v>0</v>
      </c>
    </row>
    <row r="369" spans="1:7" ht="15">
      <c r="A369" s="97" t="s">
        <v>2971</v>
      </c>
      <c r="B369" s="102">
        <v>2</v>
      </c>
      <c r="C369" s="118">
        <v>0.0011074983101068089</v>
      </c>
      <c r="D369" s="102" t="s">
        <v>3110</v>
      </c>
      <c r="E369" s="102" t="b">
        <v>0</v>
      </c>
      <c r="F369" s="102" t="b">
        <v>0</v>
      </c>
      <c r="G369" s="102" t="b">
        <v>0</v>
      </c>
    </row>
    <row r="370" spans="1:7" ht="15">
      <c r="A370" s="97" t="s">
        <v>2972</v>
      </c>
      <c r="B370" s="102">
        <v>2</v>
      </c>
      <c r="C370" s="118">
        <v>0.0011074983101068089</v>
      </c>
      <c r="D370" s="102" t="s">
        <v>3110</v>
      </c>
      <c r="E370" s="102" t="b">
        <v>0</v>
      </c>
      <c r="F370" s="102" t="b">
        <v>0</v>
      </c>
      <c r="G370" s="102" t="b">
        <v>0</v>
      </c>
    </row>
    <row r="371" spans="1:7" ht="15">
      <c r="A371" s="97" t="s">
        <v>2973</v>
      </c>
      <c r="B371" s="102">
        <v>2</v>
      </c>
      <c r="C371" s="118">
        <v>0.0011074983101068089</v>
      </c>
      <c r="D371" s="102" t="s">
        <v>3110</v>
      </c>
      <c r="E371" s="102" t="b">
        <v>0</v>
      </c>
      <c r="F371" s="102" t="b">
        <v>0</v>
      </c>
      <c r="G371" s="102" t="b">
        <v>0</v>
      </c>
    </row>
    <row r="372" spans="1:7" ht="15">
      <c r="A372" s="97" t="s">
        <v>2974</v>
      </c>
      <c r="B372" s="102">
        <v>2</v>
      </c>
      <c r="C372" s="118">
        <v>0.0011074983101068089</v>
      </c>
      <c r="D372" s="102" t="s">
        <v>3110</v>
      </c>
      <c r="E372" s="102" t="b">
        <v>0</v>
      </c>
      <c r="F372" s="102" t="b">
        <v>0</v>
      </c>
      <c r="G372" s="102" t="b">
        <v>0</v>
      </c>
    </row>
    <row r="373" spans="1:7" ht="15">
      <c r="A373" s="97" t="s">
        <v>2975</v>
      </c>
      <c r="B373" s="102">
        <v>2</v>
      </c>
      <c r="C373" s="118">
        <v>0.0011074983101068089</v>
      </c>
      <c r="D373" s="102" t="s">
        <v>3110</v>
      </c>
      <c r="E373" s="102" t="b">
        <v>0</v>
      </c>
      <c r="F373" s="102" t="b">
        <v>0</v>
      </c>
      <c r="G373" s="102" t="b">
        <v>0</v>
      </c>
    </row>
    <row r="374" spans="1:7" ht="15">
      <c r="A374" s="97" t="s">
        <v>2976</v>
      </c>
      <c r="B374" s="102">
        <v>2</v>
      </c>
      <c r="C374" s="118">
        <v>0.0011074983101068089</v>
      </c>
      <c r="D374" s="102" t="s">
        <v>3110</v>
      </c>
      <c r="E374" s="102" t="b">
        <v>0</v>
      </c>
      <c r="F374" s="102" t="b">
        <v>0</v>
      </c>
      <c r="G374" s="102" t="b">
        <v>0</v>
      </c>
    </row>
    <row r="375" spans="1:7" ht="15">
      <c r="A375" s="97" t="s">
        <v>2977</v>
      </c>
      <c r="B375" s="102">
        <v>2</v>
      </c>
      <c r="C375" s="118">
        <v>0.0011074983101068089</v>
      </c>
      <c r="D375" s="102" t="s">
        <v>3110</v>
      </c>
      <c r="E375" s="102" t="b">
        <v>0</v>
      </c>
      <c r="F375" s="102" t="b">
        <v>0</v>
      </c>
      <c r="G375" s="102" t="b">
        <v>0</v>
      </c>
    </row>
    <row r="376" spans="1:7" ht="15">
      <c r="A376" s="97" t="s">
        <v>2978</v>
      </c>
      <c r="B376" s="102">
        <v>2</v>
      </c>
      <c r="C376" s="118">
        <v>0.0011074983101068089</v>
      </c>
      <c r="D376" s="102" t="s">
        <v>3110</v>
      </c>
      <c r="E376" s="102" t="b">
        <v>0</v>
      </c>
      <c r="F376" s="102" t="b">
        <v>0</v>
      </c>
      <c r="G376" s="102" t="b">
        <v>0</v>
      </c>
    </row>
    <row r="377" spans="1:7" ht="15">
      <c r="A377" s="97" t="s">
        <v>2979</v>
      </c>
      <c r="B377" s="102">
        <v>2</v>
      </c>
      <c r="C377" s="118">
        <v>0.0011074983101068089</v>
      </c>
      <c r="D377" s="102" t="s">
        <v>3110</v>
      </c>
      <c r="E377" s="102" t="b">
        <v>0</v>
      </c>
      <c r="F377" s="102" t="b">
        <v>0</v>
      </c>
      <c r="G377" s="102" t="b">
        <v>0</v>
      </c>
    </row>
    <row r="378" spans="1:7" ht="15">
      <c r="A378" s="97" t="s">
        <v>2980</v>
      </c>
      <c r="B378" s="102">
        <v>2</v>
      </c>
      <c r="C378" s="118">
        <v>0.0011074983101068089</v>
      </c>
      <c r="D378" s="102" t="s">
        <v>3110</v>
      </c>
      <c r="E378" s="102" t="b">
        <v>0</v>
      </c>
      <c r="F378" s="102" t="b">
        <v>0</v>
      </c>
      <c r="G378" s="102" t="b">
        <v>0</v>
      </c>
    </row>
    <row r="379" spans="1:7" ht="15">
      <c r="A379" s="97" t="s">
        <v>2981</v>
      </c>
      <c r="B379" s="102">
        <v>2</v>
      </c>
      <c r="C379" s="118">
        <v>0.0011074983101068089</v>
      </c>
      <c r="D379" s="102" t="s">
        <v>3110</v>
      </c>
      <c r="E379" s="102" t="b">
        <v>0</v>
      </c>
      <c r="F379" s="102" t="b">
        <v>0</v>
      </c>
      <c r="G379" s="102" t="b">
        <v>0</v>
      </c>
    </row>
    <row r="380" spans="1:7" ht="15">
      <c r="A380" s="97" t="s">
        <v>2982</v>
      </c>
      <c r="B380" s="102">
        <v>2</v>
      </c>
      <c r="C380" s="118">
        <v>0.0012662275458906113</v>
      </c>
      <c r="D380" s="102" t="s">
        <v>3110</v>
      </c>
      <c r="E380" s="102" t="b">
        <v>0</v>
      </c>
      <c r="F380" s="102" t="b">
        <v>0</v>
      </c>
      <c r="G380" s="102" t="b">
        <v>0</v>
      </c>
    </row>
    <row r="381" spans="1:7" ht="15">
      <c r="A381" s="97" t="s">
        <v>2983</v>
      </c>
      <c r="B381" s="102">
        <v>2</v>
      </c>
      <c r="C381" s="118">
        <v>0.0011074983101068089</v>
      </c>
      <c r="D381" s="102" t="s">
        <v>3110</v>
      </c>
      <c r="E381" s="102" t="b">
        <v>0</v>
      </c>
      <c r="F381" s="102" t="b">
        <v>0</v>
      </c>
      <c r="G381" s="102" t="b">
        <v>0</v>
      </c>
    </row>
    <row r="382" spans="1:7" ht="15">
      <c r="A382" s="97" t="s">
        <v>2984</v>
      </c>
      <c r="B382" s="102">
        <v>2</v>
      </c>
      <c r="C382" s="118">
        <v>0.0011074983101068089</v>
      </c>
      <c r="D382" s="102" t="s">
        <v>3110</v>
      </c>
      <c r="E382" s="102" t="b">
        <v>0</v>
      </c>
      <c r="F382" s="102" t="b">
        <v>0</v>
      </c>
      <c r="G382" s="102" t="b">
        <v>0</v>
      </c>
    </row>
    <row r="383" spans="1:7" ht="15">
      <c r="A383" s="97" t="s">
        <v>2985</v>
      </c>
      <c r="B383" s="102">
        <v>2</v>
      </c>
      <c r="C383" s="118">
        <v>0.0011074983101068089</v>
      </c>
      <c r="D383" s="102" t="s">
        <v>3110</v>
      </c>
      <c r="E383" s="102" t="b">
        <v>0</v>
      </c>
      <c r="F383" s="102" t="b">
        <v>0</v>
      </c>
      <c r="G383" s="102" t="b">
        <v>0</v>
      </c>
    </row>
    <row r="384" spans="1:7" ht="15">
      <c r="A384" s="97" t="s">
        <v>2986</v>
      </c>
      <c r="B384" s="102">
        <v>2</v>
      </c>
      <c r="C384" s="118">
        <v>0.0011074983101068089</v>
      </c>
      <c r="D384" s="102" t="s">
        <v>3110</v>
      </c>
      <c r="E384" s="102" t="b">
        <v>0</v>
      </c>
      <c r="F384" s="102" t="b">
        <v>0</v>
      </c>
      <c r="G384" s="102" t="b">
        <v>0</v>
      </c>
    </row>
    <row r="385" spans="1:7" ht="15">
      <c r="A385" s="97" t="s">
        <v>2987</v>
      </c>
      <c r="B385" s="102">
        <v>2</v>
      </c>
      <c r="C385" s="118">
        <v>0.0011074983101068089</v>
      </c>
      <c r="D385" s="102" t="s">
        <v>3110</v>
      </c>
      <c r="E385" s="102" t="b">
        <v>0</v>
      </c>
      <c r="F385" s="102" t="b">
        <v>0</v>
      </c>
      <c r="G385" s="102" t="b">
        <v>0</v>
      </c>
    </row>
    <row r="386" spans="1:7" ht="15">
      <c r="A386" s="97" t="s">
        <v>2988</v>
      </c>
      <c r="B386" s="102">
        <v>2</v>
      </c>
      <c r="C386" s="118">
        <v>0.0011074983101068089</v>
      </c>
      <c r="D386" s="102" t="s">
        <v>3110</v>
      </c>
      <c r="E386" s="102" t="b">
        <v>0</v>
      </c>
      <c r="F386" s="102" t="b">
        <v>0</v>
      </c>
      <c r="G386" s="102" t="b">
        <v>0</v>
      </c>
    </row>
    <row r="387" spans="1:7" ht="15">
      <c r="A387" s="97" t="s">
        <v>2989</v>
      </c>
      <c r="B387" s="102">
        <v>2</v>
      </c>
      <c r="C387" s="118">
        <v>0.0011074983101068089</v>
      </c>
      <c r="D387" s="102" t="s">
        <v>3110</v>
      </c>
      <c r="E387" s="102" t="b">
        <v>0</v>
      </c>
      <c r="F387" s="102" t="b">
        <v>0</v>
      </c>
      <c r="G387" s="102" t="b">
        <v>0</v>
      </c>
    </row>
    <row r="388" spans="1:7" ht="15">
      <c r="A388" s="97" t="s">
        <v>2990</v>
      </c>
      <c r="B388" s="102">
        <v>2</v>
      </c>
      <c r="C388" s="118">
        <v>0.0011074983101068089</v>
      </c>
      <c r="D388" s="102" t="s">
        <v>3110</v>
      </c>
      <c r="E388" s="102" t="b">
        <v>0</v>
      </c>
      <c r="F388" s="102" t="b">
        <v>0</v>
      </c>
      <c r="G388" s="102" t="b">
        <v>0</v>
      </c>
    </row>
    <row r="389" spans="1:7" ht="15">
      <c r="A389" s="97" t="s">
        <v>2991</v>
      </c>
      <c r="B389" s="102">
        <v>2</v>
      </c>
      <c r="C389" s="118">
        <v>0.0011074983101068089</v>
      </c>
      <c r="D389" s="102" t="s">
        <v>3110</v>
      </c>
      <c r="E389" s="102" t="b">
        <v>0</v>
      </c>
      <c r="F389" s="102" t="b">
        <v>0</v>
      </c>
      <c r="G389" s="102" t="b">
        <v>0</v>
      </c>
    </row>
    <row r="390" spans="1:7" ht="15">
      <c r="A390" s="97" t="s">
        <v>2992</v>
      </c>
      <c r="B390" s="102">
        <v>2</v>
      </c>
      <c r="C390" s="118">
        <v>0.0011074983101068089</v>
      </c>
      <c r="D390" s="102" t="s">
        <v>3110</v>
      </c>
      <c r="E390" s="102" t="b">
        <v>0</v>
      </c>
      <c r="F390" s="102" t="b">
        <v>0</v>
      </c>
      <c r="G390" s="102" t="b">
        <v>0</v>
      </c>
    </row>
    <row r="391" spans="1:7" ht="15">
      <c r="A391" s="97" t="s">
        <v>2993</v>
      </c>
      <c r="B391" s="102">
        <v>2</v>
      </c>
      <c r="C391" s="118">
        <v>0.0011074983101068089</v>
      </c>
      <c r="D391" s="102" t="s">
        <v>3110</v>
      </c>
      <c r="E391" s="102" t="b">
        <v>0</v>
      </c>
      <c r="F391" s="102" t="b">
        <v>0</v>
      </c>
      <c r="G391" s="102" t="b">
        <v>0</v>
      </c>
    </row>
    <row r="392" spans="1:7" ht="15">
      <c r="A392" s="97" t="s">
        <v>2994</v>
      </c>
      <c r="B392" s="102">
        <v>2</v>
      </c>
      <c r="C392" s="118">
        <v>0.0011074983101068089</v>
      </c>
      <c r="D392" s="102" t="s">
        <v>3110</v>
      </c>
      <c r="E392" s="102" t="b">
        <v>0</v>
      </c>
      <c r="F392" s="102" t="b">
        <v>0</v>
      </c>
      <c r="G392" s="102" t="b">
        <v>0</v>
      </c>
    </row>
    <row r="393" spans="1:7" ht="15">
      <c r="A393" s="97" t="s">
        <v>2995</v>
      </c>
      <c r="B393" s="102">
        <v>2</v>
      </c>
      <c r="C393" s="118">
        <v>0.0011074983101068089</v>
      </c>
      <c r="D393" s="102" t="s">
        <v>3110</v>
      </c>
      <c r="E393" s="102" t="b">
        <v>0</v>
      </c>
      <c r="F393" s="102" t="b">
        <v>0</v>
      </c>
      <c r="G393" s="102" t="b">
        <v>0</v>
      </c>
    </row>
    <row r="394" spans="1:7" ht="15">
      <c r="A394" s="97" t="s">
        <v>2996</v>
      </c>
      <c r="B394" s="102">
        <v>2</v>
      </c>
      <c r="C394" s="118">
        <v>0.0011074983101068089</v>
      </c>
      <c r="D394" s="102" t="s">
        <v>3110</v>
      </c>
      <c r="E394" s="102" t="b">
        <v>0</v>
      </c>
      <c r="F394" s="102" t="b">
        <v>0</v>
      </c>
      <c r="G394" s="102" t="b">
        <v>0</v>
      </c>
    </row>
    <row r="395" spans="1:7" ht="15">
      <c r="A395" s="97" t="s">
        <v>2997</v>
      </c>
      <c r="B395" s="102">
        <v>2</v>
      </c>
      <c r="C395" s="118">
        <v>0.0011074983101068089</v>
      </c>
      <c r="D395" s="102" t="s">
        <v>3110</v>
      </c>
      <c r="E395" s="102" t="b">
        <v>0</v>
      </c>
      <c r="F395" s="102" t="b">
        <v>0</v>
      </c>
      <c r="G395" s="102" t="b">
        <v>0</v>
      </c>
    </row>
    <row r="396" spans="1:7" ht="15">
      <c r="A396" s="97" t="s">
        <v>2998</v>
      </c>
      <c r="B396" s="102">
        <v>2</v>
      </c>
      <c r="C396" s="118">
        <v>0.0011074983101068089</v>
      </c>
      <c r="D396" s="102" t="s">
        <v>3110</v>
      </c>
      <c r="E396" s="102" t="b">
        <v>0</v>
      </c>
      <c r="F396" s="102" t="b">
        <v>0</v>
      </c>
      <c r="G396" s="102" t="b">
        <v>0</v>
      </c>
    </row>
    <row r="397" spans="1:7" ht="15">
      <c r="A397" s="97" t="s">
        <v>2999</v>
      </c>
      <c r="B397" s="102">
        <v>2</v>
      </c>
      <c r="C397" s="118">
        <v>0.0011074983101068089</v>
      </c>
      <c r="D397" s="102" t="s">
        <v>3110</v>
      </c>
      <c r="E397" s="102" t="b">
        <v>0</v>
      </c>
      <c r="F397" s="102" t="b">
        <v>0</v>
      </c>
      <c r="G397" s="102" t="b">
        <v>0</v>
      </c>
    </row>
    <row r="398" spans="1:7" ht="15">
      <c r="A398" s="97" t="s">
        <v>3000</v>
      </c>
      <c r="B398" s="102">
        <v>2</v>
      </c>
      <c r="C398" s="118">
        <v>0.0011074983101068089</v>
      </c>
      <c r="D398" s="102" t="s">
        <v>3110</v>
      </c>
      <c r="E398" s="102" t="b">
        <v>0</v>
      </c>
      <c r="F398" s="102" t="b">
        <v>0</v>
      </c>
      <c r="G398" s="102" t="b">
        <v>0</v>
      </c>
    </row>
    <row r="399" spans="1:7" ht="15">
      <c r="A399" s="97" t="s">
        <v>3001</v>
      </c>
      <c r="B399" s="102">
        <v>2</v>
      </c>
      <c r="C399" s="118">
        <v>0.0011074983101068089</v>
      </c>
      <c r="D399" s="102" t="s">
        <v>3110</v>
      </c>
      <c r="E399" s="102" t="b">
        <v>0</v>
      </c>
      <c r="F399" s="102" t="b">
        <v>0</v>
      </c>
      <c r="G399" s="102" t="b">
        <v>0</v>
      </c>
    </row>
    <row r="400" spans="1:7" ht="15">
      <c r="A400" s="97" t="s">
        <v>3002</v>
      </c>
      <c r="B400" s="102">
        <v>2</v>
      </c>
      <c r="C400" s="118">
        <v>0.0011074983101068089</v>
      </c>
      <c r="D400" s="102" t="s">
        <v>3110</v>
      </c>
      <c r="E400" s="102" t="b">
        <v>0</v>
      </c>
      <c r="F400" s="102" t="b">
        <v>0</v>
      </c>
      <c r="G400" s="102" t="b">
        <v>0</v>
      </c>
    </row>
    <row r="401" spans="1:7" ht="15">
      <c r="A401" s="97" t="s">
        <v>3003</v>
      </c>
      <c r="B401" s="102">
        <v>2</v>
      </c>
      <c r="C401" s="118">
        <v>0.0011074983101068089</v>
      </c>
      <c r="D401" s="102" t="s">
        <v>3110</v>
      </c>
      <c r="E401" s="102" t="b">
        <v>0</v>
      </c>
      <c r="F401" s="102" t="b">
        <v>0</v>
      </c>
      <c r="G401" s="102" t="b">
        <v>0</v>
      </c>
    </row>
    <row r="402" spans="1:7" ht="15">
      <c r="A402" s="97" t="s">
        <v>3004</v>
      </c>
      <c r="B402" s="102">
        <v>2</v>
      </c>
      <c r="C402" s="118">
        <v>0.0011074983101068089</v>
      </c>
      <c r="D402" s="102" t="s">
        <v>3110</v>
      </c>
      <c r="E402" s="102" t="b">
        <v>0</v>
      </c>
      <c r="F402" s="102" t="b">
        <v>0</v>
      </c>
      <c r="G402" s="102" t="b">
        <v>0</v>
      </c>
    </row>
    <row r="403" spans="1:7" ht="15">
      <c r="A403" s="97" t="s">
        <v>3005</v>
      </c>
      <c r="B403" s="102">
        <v>2</v>
      </c>
      <c r="C403" s="118">
        <v>0.0011074983101068089</v>
      </c>
      <c r="D403" s="102" t="s">
        <v>3110</v>
      </c>
      <c r="E403" s="102" t="b">
        <v>0</v>
      </c>
      <c r="F403" s="102" t="b">
        <v>0</v>
      </c>
      <c r="G403" s="102" t="b">
        <v>0</v>
      </c>
    </row>
    <row r="404" spans="1:7" ht="15">
      <c r="A404" s="97" t="s">
        <v>3006</v>
      </c>
      <c r="B404" s="102">
        <v>2</v>
      </c>
      <c r="C404" s="118">
        <v>0.0011074983101068089</v>
      </c>
      <c r="D404" s="102" t="s">
        <v>3110</v>
      </c>
      <c r="E404" s="102" t="b">
        <v>0</v>
      </c>
      <c r="F404" s="102" t="b">
        <v>0</v>
      </c>
      <c r="G404" s="102" t="b">
        <v>0</v>
      </c>
    </row>
    <row r="405" spans="1:7" ht="15">
      <c r="A405" s="97" t="s">
        <v>292</v>
      </c>
      <c r="B405" s="102">
        <v>2</v>
      </c>
      <c r="C405" s="118">
        <v>0.0011074983101068089</v>
      </c>
      <c r="D405" s="102" t="s">
        <v>3110</v>
      </c>
      <c r="E405" s="102" t="b">
        <v>0</v>
      </c>
      <c r="F405" s="102" t="b">
        <v>0</v>
      </c>
      <c r="G405" s="102" t="b">
        <v>0</v>
      </c>
    </row>
    <row r="406" spans="1:7" ht="15">
      <c r="A406" s="97" t="s">
        <v>465</v>
      </c>
      <c r="B406" s="102">
        <v>2</v>
      </c>
      <c r="C406" s="118">
        <v>0.0011074983101068089</v>
      </c>
      <c r="D406" s="102" t="s">
        <v>3110</v>
      </c>
      <c r="E406" s="102" t="b">
        <v>0</v>
      </c>
      <c r="F406" s="102" t="b">
        <v>0</v>
      </c>
      <c r="G406" s="102" t="b">
        <v>0</v>
      </c>
    </row>
    <row r="407" spans="1:7" ht="15">
      <c r="A407" s="97" t="s">
        <v>3007</v>
      </c>
      <c r="B407" s="102">
        <v>2</v>
      </c>
      <c r="C407" s="118">
        <v>0.0011074983101068089</v>
      </c>
      <c r="D407" s="102" t="s">
        <v>3110</v>
      </c>
      <c r="E407" s="102" t="b">
        <v>0</v>
      </c>
      <c r="F407" s="102" t="b">
        <v>0</v>
      </c>
      <c r="G407" s="102" t="b">
        <v>0</v>
      </c>
    </row>
    <row r="408" spans="1:7" ht="15">
      <c r="A408" s="97" t="s">
        <v>3008</v>
      </c>
      <c r="B408" s="102">
        <v>2</v>
      </c>
      <c r="C408" s="118">
        <v>0.0011074983101068089</v>
      </c>
      <c r="D408" s="102" t="s">
        <v>3110</v>
      </c>
      <c r="E408" s="102" t="b">
        <v>0</v>
      </c>
      <c r="F408" s="102" t="b">
        <v>0</v>
      </c>
      <c r="G408" s="102" t="b">
        <v>0</v>
      </c>
    </row>
    <row r="409" spans="1:7" ht="15">
      <c r="A409" s="97" t="s">
        <v>324</v>
      </c>
      <c r="B409" s="102">
        <v>2</v>
      </c>
      <c r="C409" s="118">
        <v>0.0011074983101068089</v>
      </c>
      <c r="D409" s="102" t="s">
        <v>3110</v>
      </c>
      <c r="E409" s="102" t="b">
        <v>0</v>
      </c>
      <c r="F409" s="102" t="b">
        <v>0</v>
      </c>
      <c r="G409" s="102" t="b">
        <v>0</v>
      </c>
    </row>
    <row r="410" spans="1:7" ht="15">
      <c r="A410" s="97" t="s">
        <v>3009</v>
      </c>
      <c r="B410" s="102">
        <v>2</v>
      </c>
      <c r="C410" s="118">
        <v>0.0011074983101068089</v>
      </c>
      <c r="D410" s="102" t="s">
        <v>3110</v>
      </c>
      <c r="E410" s="102" t="b">
        <v>0</v>
      </c>
      <c r="F410" s="102" t="b">
        <v>0</v>
      </c>
      <c r="G410" s="102" t="b">
        <v>0</v>
      </c>
    </row>
    <row r="411" spans="1:7" ht="15">
      <c r="A411" s="97" t="s">
        <v>3010</v>
      </c>
      <c r="B411" s="102">
        <v>2</v>
      </c>
      <c r="C411" s="118">
        <v>0.0011074983101068089</v>
      </c>
      <c r="D411" s="102" t="s">
        <v>3110</v>
      </c>
      <c r="E411" s="102" t="b">
        <v>0</v>
      </c>
      <c r="F411" s="102" t="b">
        <v>0</v>
      </c>
      <c r="G411" s="102" t="b">
        <v>0</v>
      </c>
    </row>
    <row r="412" spans="1:7" ht="15">
      <c r="A412" s="97" t="s">
        <v>3011</v>
      </c>
      <c r="B412" s="102">
        <v>2</v>
      </c>
      <c r="C412" s="118">
        <v>0.0011074983101068089</v>
      </c>
      <c r="D412" s="102" t="s">
        <v>3110</v>
      </c>
      <c r="E412" s="102" t="b">
        <v>0</v>
      </c>
      <c r="F412" s="102" t="b">
        <v>0</v>
      </c>
      <c r="G412" s="102" t="b">
        <v>0</v>
      </c>
    </row>
    <row r="413" spans="1:7" ht="15">
      <c r="A413" s="97" t="s">
        <v>3012</v>
      </c>
      <c r="B413" s="102">
        <v>2</v>
      </c>
      <c r="C413" s="118">
        <v>0.0011074983101068089</v>
      </c>
      <c r="D413" s="102" t="s">
        <v>3110</v>
      </c>
      <c r="E413" s="102" t="b">
        <v>0</v>
      </c>
      <c r="F413" s="102" t="b">
        <v>0</v>
      </c>
      <c r="G413" s="102" t="b">
        <v>0</v>
      </c>
    </row>
    <row r="414" spans="1:7" ht="15">
      <c r="A414" s="97" t="s">
        <v>3013</v>
      </c>
      <c r="B414" s="102">
        <v>2</v>
      </c>
      <c r="C414" s="118">
        <v>0.0011074983101068089</v>
      </c>
      <c r="D414" s="102" t="s">
        <v>3110</v>
      </c>
      <c r="E414" s="102" t="b">
        <v>0</v>
      </c>
      <c r="F414" s="102" t="b">
        <v>0</v>
      </c>
      <c r="G414" s="102" t="b">
        <v>0</v>
      </c>
    </row>
    <row r="415" spans="1:7" ht="15">
      <c r="A415" s="97" t="s">
        <v>3014</v>
      </c>
      <c r="B415" s="102">
        <v>2</v>
      </c>
      <c r="C415" s="118">
        <v>0.0011074983101068089</v>
      </c>
      <c r="D415" s="102" t="s">
        <v>3110</v>
      </c>
      <c r="E415" s="102" t="b">
        <v>0</v>
      </c>
      <c r="F415" s="102" t="b">
        <v>0</v>
      </c>
      <c r="G415" s="102" t="b">
        <v>0</v>
      </c>
    </row>
    <row r="416" spans="1:7" ht="15">
      <c r="A416" s="97" t="s">
        <v>3015</v>
      </c>
      <c r="B416" s="102">
        <v>2</v>
      </c>
      <c r="C416" s="118">
        <v>0.0011074983101068089</v>
      </c>
      <c r="D416" s="102" t="s">
        <v>3110</v>
      </c>
      <c r="E416" s="102" t="b">
        <v>0</v>
      </c>
      <c r="F416" s="102" t="b">
        <v>0</v>
      </c>
      <c r="G416" s="102" t="b">
        <v>0</v>
      </c>
    </row>
    <row r="417" spans="1:7" ht="15">
      <c r="A417" s="97" t="s">
        <v>3016</v>
      </c>
      <c r="B417" s="102">
        <v>2</v>
      </c>
      <c r="C417" s="118">
        <v>0.0011074983101068089</v>
      </c>
      <c r="D417" s="102" t="s">
        <v>3110</v>
      </c>
      <c r="E417" s="102" t="b">
        <v>0</v>
      </c>
      <c r="F417" s="102" t="b">
        <v>0</v>
      </c>
      <c r="G417" s="102" t="b">
        <v>0</v>
      </c>
    </row>
    <row r="418" spans="1:7" ht="15">
      <c r="A418" s="97" t="s">
        <v>3017</v>
      </c>
      <c r="B418" s="102">
        <v>2</v>
      </c>
      <c r="C418" s="118">
        <v>0.0012662275458906113</v>
      </c>
      <c r="D418" s="102" t="s">
        <v>3110</v>
      </c>
      <c r="E418" s="102" t="b">
        <v>0</v>
      </c>
      <c r="F418" s="102" t="b">
        <v>0</v>
      </c>
      <c r="G418" s="102" t="b">
        <v>0</v>
      </c>
    </row>
    <row r="419" spans="1:7" ht="15">
      <c r="A419" s="97" t="s">
        <v>3018</v>
      </c>
      <c r="B419" s="102">
        <v>2</v>
      </c>
      <c r="C419" s="118">
        <v>0.0011074983101068089</v>
      </c>
      <c r="D419" s="102" t="s">
        <v>3110</v>
      </c>
      <c r="E419" s="102" t="b">
        <v>0</v>
      </c>
      <c r="F419" s="102" t="b">
        <v>0</v>
      </c>
      <c r="G419" s="102" t="b">
        <v>0</v>
      </c>
    </row>
    <row r="420" spans="1:7" ht="15">
      <c r="A420" s="97" t="s">
        <v>3019</v>
      </c>
      <c r="B420" s="102">
        <v>2</v>
      </c>
      <c r="C420" s="118">
        <v>0.0011074983101068089</v>
      </c>
      <c r="D420" s="102" t="s">
        <v>3110</v>
      </c>
      <c r="E420" s="102" t="b">
        <v>0</v>
      </c>
      <c r="F420" s="102" t="b">
        <v>0</v>
      </c>
      <c r="G420" s="102" t="b">
        <v>0</v>
      </c>
    </row>
    <row r="421" spans="1:7" ht="15">
      <c r="A421" s="97" t="s">
        <v>3020</v>
      </c>
      <c r="B421" s="102">
        <v>2</v>
      </c>
      <c r="C421" s="118">
        <v>0.0011074983101068089</v>
      </c>
      <c r="D421" s="102" t="s">
        <v>3110</v>
      </c>
      <c r="E421" s="102" t="b">
        <v>0</v>
      </c>
      <c r="F421" s="102" t="b">
        <v>0</v>
      </c>
      <c r="G421" s="102" t="b">
        <v>0</v>
      </c>
    </row>
    <row r="422" spans="1:7" ht="15">
      <c r="A422" s="97" t="s">
        <v>3021</v>
      </c>
      <c r="B422" s="102">
        <v>2</v>
      </c>
      <c r="C422" s="118">
        <v>0.0011074983101068089</v>
      </c>
      <c r="D422" s="102" t="s">
        <v>3110</v>
      </c>
      <c r="E422" s="102" t="b">
        <v>0</v>
      </c>
      <c r="F422" s="102" t="b">
        <v>0</v>
      </c>
      <c r="G422" s="102" t="b">
        <v>0</v>
      </c>
    </row>
    <row r="423" spans="1:7" ht="15">
      <c r="A423" s="97" t="s">
        <v>3022</v>
      </c>
      <c r="B423" s="102">
        <v>2</v>
      </c>
      <c r="C423" s="118">
        <v>0.0011074983101068089</v>
      </c>
      <c r="D423" s="102" t="s">
        <v>3110</v>
      </c>
      <c r="E423" s="102" t="b">
        <v>0</v>
      </c>
      <c r="F423" s="102" t="b">
        <v>0</v>
      </c>
      <c r="G423" s="102" t="b">
        <v>0</v>
      </c>
    </row>
    <row r="424" spans="1:7" ht="15">
      <c r="A424" s="97" t="s">
        <v>3023</v>
      </c>
      <c r="B424" s="102">
        <v>2</v>
      </c>
      <c r="C424" s="118">
        <v>0.0012662275458906113</v>
      </c>
      <c r="D424" s="102" t="s">
        <v>3110</v>
      </c>
      <c r="E424" s="102" t="b">
        <v>0</v>
      </c>
      <c r="F424" s="102" t="b">
        <v>0</v>
      </c>
      <c r="G424" s="102" t="b">
        <v>0</v>
      </c>
    </row>
    <row r="425" spans="1:7" ht="15">
      <c r="A425" s="97" t="s">
        <v>3024</v>
      </c>
      <c r="B425" s="102">
        <v>2</v>
      </c>
      <c r="C425" s="118">
        <v>0.0011074983101068089</v>
      </c>
      <c r="D425" s="102" t="s">
        <v>3110</v>
      </c>
      <c r="E425" s="102" t="b">
        <v>0</v>
      </c>
      <c r="F425" s="102" t="b">
        <v>0</v>
      </c>
      <c r="G425" s="102" t="b">
        <v>0</v>
      </c>
    </row>
    <row r="426" spans="1:7" ht="15">
      <c r="A426" s="97" t="s">
        <v>3025</v>
      </c>
      <c r="B426" s="102">
        <v>2</v>
      </c>
      <c r="C426" s="118">
        <v>0.0011074983101068089</v>
      </c>
      <c r="D426" s="102" t="s">
        <v>3110</v>
      </c>
      <c r="E426" s="102" t="b">
        <v>0</v>
      </c>
      <c r="F426" s="102" t="b">
        <v>0</v>
      </c>
      <c r="G426" s="102" t="b">
        <v>0</v>
      </c>
    </row>
    <row r="427" spans="1:7" ht="15">
      <c r="A427" s="97" t="s">
        <v>3026</v>
      </c>
      <c r="B427" s="102">
        <v>2</v>
      </c>
      <c r="C427" s="118">
        <v>0.0012662275458906113</v>
      </c>
      <c r="D427" s="102" t="s">
        <v>3110</v>
      </c>
      <c r="E427" s="102" t="b">
        <v>0</v>
      </c>
      <c r="F427" s="102" t="b">
        <v>0</v>
      </c>
      <c r="G427" s="102" t="b">
        <v>0</v>
      </c>
    </row>
    <row r="428" spans="1:7" ht="15">
      <c r="A428" s="97" t="s">
        <v>464</v>
      </c>
      <c r="B428" s="102">
        <v>2</v>
      </c>
      <c r="C428" s="118">
        <v>0.0011074983101068089</v>
      </c>
      <c r="D428" s="102" t="s">
        <v>3110</v>
      </c>
      <c r="E428" s="102" t="b">
        <v>0</v>
      </c>
      <c r="F428" s="102" t="b">
        <v>0</v>
      </c>
      <c r="G428" s="102" t="b">
        <v>0</v>
      </c>
    </row>
    <row r="429" spans="1:7" ht="15">
      <c r="A429" s="97" t="s">
        <v>463</v>
      </c>
      <c r="B429" s="102">
        <v>2</v>
      </c>
      <c r="C429" s="118">
        <v>0.0011074983101068089</v>
      </c>
      <c r="D429" s="102" t="s">
        <v>3110</v>
      </c>
      <c r="E429" s="102" t="b">
        <v>0</v>
      </c>
      <c r="F429" s="102" t="b">
        <v>0</v>
      </c>
      <c r="G429" s="102" t="b">
        <v>0</v>
      </c>
    </row>
    <row r="430" spans="1:7" ht="15">
      <c r="A430" s="97" t="s">
        <v>462</v>
      </c>
      <c r="B430" s="102">
        <v>2</v>
      </c>
      <c r="C430" s="118">
        <v>0.0011074983101068089</v>
      </c>
      <c r="D430" s="102" t="s">
        <v>3110</v>
      </c>
      <c r="E430" s="102" t="b">
        <v>0</v>
      </c>
      <c r="F430" s="102" t="b">
        <v>0</v>
      </c>
      <c r="G430" s="102" t="b">
        <v>0</v>
      </c>
    </row>
    <row r="431" spans="1:7" ht="15">
      <c r="A431" s="97" t="s">
        <v>3027</v>
      </c>
      <c r="B431" s="102">
        <v>2</v>
      </c>
      <c r="C431" s="118">
        <v>0.0012662275458906113</v>
      </c>
      <c r="D431" s="102" t="s">
        <v>3110</v>
      </c>
      <c r="E431" s="102" t="b">
        <v>0</v>
      </c>
      <c r="F431" s="102" t="b">
        <v>0</v>
      </c>
      <c r="G431" s="102" t="b">
        <v>0</v>
      </c>
    </row>
    <row r="432" spans="1:7" ht="15">
      <c r="A432" s="97" t="s">
        <v>3028</v>
      </c>
      <c r="B432" s="102">
        <v>2</v>
      </c>
      <c r="C432" s="118">
        <v>0.0011074983101068089</v>
      </c>
      <c r="D432" s="102" t="s">
        <v>3110</v>
      </c>
      <c r="E432" s="102" t="b">
        <v>0</v>
      </c>
      <c r="F432" s="102" t="b">
        <v>0</v>
      </c>
      <c r="G432" s="102" t="b">
        <v>0</v>
      </c>
    </row>
    <row r="433" spans="1:7" ht="15">
      <c r="A433" s="97" t="s">
        <v>301</v>
      </c>
      <c r="B433" s="102">
        <v>2</v>
      </c>
      <c r="C433" s="118">
        <v>0.0011074983101068089</v>
      </c>
      <c r="D433" s="102" t="s">
        <v>3110</v>
      </c>
      <c r="E433" s="102" t="b">
        <v>0</v>
      </c>
      <c r="F433" s="102" t="b">
        <v>0</v>
      </c>
      <c r="G433" s="102" t="b">
        <v>0</v>
      </c>
    </row>
    <row r="434" spans="1:7" ht="15">
      <c r="A434" s="97" t="s">
        <v>3029</v>
      </c>
      <c r="B434" s="102">
        <v>2</v>
      </c>
      <c r="C434" s="118">
        <v>0.0011074983101068089</v>
      </c>
      <c r="D434" s="102" t="s">
        <v>3110</v>
      </c>
      <c r="E434" s="102" t="b">
        <v>0</v>
      </c>
      <c r="F434" s="102" t="b">
        <v>0</v>
      </c>
      <c r="G434" s="102" t="b">
        <v>0</v>
      </c>
    </row>
    <row r="435" spans="1:7" ht="15">
      <c r="A435" s="97" t="s">
        <v>460</v>
      </c>
      <c r="B435" s="102">
        <v>2</v>
      </c>
      <c r="C435" s="118">
        <v>0.0011074983101068089</v>
      </c>
      <c r="D435" s="102" t="s">
        <v>3110</v>
      </c>
      <c r="E435" s="102" t="b">
        <v>0</v>
      </c>
      <c r="F435" s="102" t="b">
        <v>0</v>
      </c>
      <c r="G435" s="102" t="b">
        <v>0</v>
      </c>
    </row>
    <row r="436" spans="1:7" ht="15">
      <c r="A436" s="97" t="s">
        <v>3030</v>
      </c>
      <c r="B436" s="102">
        <v>2</v>
      </c>
      <c r="C436" s="118">
        <v>0.0011074983101068089</v>
      </c>
      <c r="D436" s="102" t="s">
        <v>3110</v>
      </c>
      <c r="E436" s="102" t="b">
        <v>0</v>
      </c>
      <c r="F436" s="102" t="b">
        <v>0</v>
      </c>
      <c r="G436" s="102" t="b">
        <v>0</v>
      </c>
    </row>
    <row r="437" spans="1:7" ht="15">
      <c r="A437" s="97" t="s">
        <v>3031</v>
      </c>
      <c r="B437" s="102">
        <v>2</v>
      </c>
      <c r="C437" s="118">
        <v>0.0011074983101068089</v>
      </c>
      <c r="D437" s="102" t="s">
        <v>3110</v>
      </c>
      <c r="E437" s="102" t="b">
        <v>0</v>
      </c>
      <c r="F437" s="102" t="b">
        <v>0</v>
      </c>
      <c r="G437" s="102" t="b">
        <v>0</v>
      </c>
    </row>
    <row r="438" spans="1:7" ht="15">
      <c r="A438" s="97" t="s">
        <v>3032</v>
      </c>
      <c r="B438" s="102">
        <v>2</v>
      </c>
      <c r="C438" s="118">
        <v>0.0011074983101068089</v>
      </c>
      <c r="D438" s="102" t="s">
        <v>3110</v>
      </c>
      <c r="E438" s="102" t="b">
        <v>0</v>
      </c>
      <c r="F438" s="102" t="b">
        <v>0</v>
      </c>
      <c r="G438" s="102" t="b">
        <v>0</v>
      </c>
    </row>
    <row r="439" spans="1:7" ht="15">
      <c r="A439" s="97" t="s">
        <v>3033</v>
      </c>
      <c r="B439" s="102">
        <v>2</v>
      </c>
      <c r="C439" s="118">
        <v>0.0011074983101068089</v>
      </c>
      <c r="D439" s="102" t="s">
        <v>3110</v>
      </c>
      <c r="E439" s="102" t="b">
        <v>0</v>
      </c>
      <c r="F439" s="102" t="b">
        <v>0</v>
      </c>
      <c r="G439" s="102" t="b">
        <v>0</v>
      </c>
    </row>
    <row r="440" spans="1:7" ht="15">
      <c r="A440" s="97" t="s">
        <v>451</v>
      </c>
      <c r="B440" s="102">
        <v>2</v>
      </c>
      <c r="C440" s="118">
        <v>0.0011074983101068089</v>
      </c>
      <c r="D440" s="102" t="s">
        <v>3110</v>
      </c>
      <c r="E440" s="102" t="b">
        <v>0</v>
      </c>
      <c r="F440" s="102" t="b">
        <v>0</v>
      </c>
      <c r="G440" s="102" t="b">
        <v>0</v>
      </c>
    </row>
    <row r="441" spans="1:7" ht="15">
      <c r="A441" s="97" t="s">
        <v>289</v>
      </c>
      <c r="B441" s="102">
        <v>2</v>
      </c>
      <c r="C441" s="118">
        <v>0.0011074983101068089</v>
      </c>
      <c r="D441" s="102" t="s">
        <v>3110</v>
      </c>
      <c r="E441" s="102" t="b">
        <v>0</v>
      </c>
      <c r="F441" s="102" t="b">
        <v>0</v>
      </c>
      <c r="G441" s="102" t="b">
        <v>0</v>
      </c>
    </row>
    <row r="442" spans="1:7" ht="15">
      <c r="A442" s="97" t="s">
        <v>446</v>
      </c>
      <c r="B442" s="102">
        <v>2</v>
      </c>
      <c r="C442" s="118">
        <v>0.0011074983101068089</v>
      </c>
      <c r="D442" s="102" t="s">
        <v>3110</v>
      </c>
      <c r="E442" s="102" t="b">
        <v>0</v>
      </c>
      <c r="F442" s="102" t="b">
        <v>0</v>
      </c>
      <c r="G442" s="102" t="b">
        <v>0</v>
      </c>
    </row>
    <row r="443" spans="1:7" ht="15">
      <c r="A443" s="97" t="s">
        <v>445</v>
      </c>
      <c r="B443" s="102">
        <v>2</v>
      </c>
      <c r="C443" s="118">
        <v>0.0011074983101068089</v>
      </c>
      <c r="D443" s="102" t="s">
        <v>3110</v>
      </c>
      <c r="E443" s="102" t="b">
        <v>0</v>
      </c>
      <c r="F443" s="102" t="b">
        <v>0</v>
      </c>
      <c r="G443" s="102" t="b">
        <v>0</v>
      </c>
    </row>
    <row r="444" spans="1:7" ht="15">
      <c r="A444" s="97" t="s">
        <v>444</v>
      </c>
      <c r="B444" s="102">
        <v>2</v>
      </c>
      <c r="C444" s="118">
        <v>0.0011074983101068089</v>
      </c>
      <c r="D444" s="102" t="s">
        <v>3110</v>
      </c>
      <c r="E444" s="102" t="b">
        <v>0</v>
      </c>
      <c r="F444" s="102" t="b">
        <v>0</v>
      </c>
      <c r="G444" s="102" t="b">
        <v>0</v>
      </c>
    </row>
    <row r="445" spans="1:7" ht="15">
      <c r="A445" s="97" t="s">
        <v>443</v>
      </c>
      <c r="B445" s="102">
        <v>2</v>
      </c>
      <c r="C445" s="118">
        <v>0.0011074983101068089</v>
      </c>
      <c r="D445" s="102" t="s">
        <v>3110</v>
      </c>
      <c r="E445" s="102" t="b">
        <v>0</v>
      </c>
      <c r="F445" s="102" t="b">
        <v>0</v>
      </c>
      <c r="G445" s="102" t="b">
        <v>0</v>
      </c>
    </row>
    <row r="446" spans="1:7" ht="15">
      <c r="A446" s="97" t="s">
        <v>442</v>
      </c>
      <c r="B446" s="102">
        <v>2</v>
      </c>
      <c r="C446" s="118">
        <v>0.0011074983101068089</v>
      </c>
      <c r="D446" s="102" t="s">
        <v>3110</v>
      </c>
      <c r="E446" s="102" t="b">
        <v>0</v>
      </c>
      <c r="F446" s="102" t="b">
        <v>0</v>
      </c>
      <c r="G446" s="102" t="b">
        <v>0</v>
      </c>
    </row>
    <row r="447" spans="1:7" ht="15">
      <c r="A447" s="97" t="s">
        <v>441</v>
      </c>
      <c r="B447" s="102">
        <v>2</v>
      </c>
      <c r="C447" s="118">
        <v>0.0011074983101068089</v>
      </c>
      <c r="D447" s="102" t="s">
        <v>3110</v>
      </c>
      <c r="E447" s="102" t="b">
        <v>0</v>
      </c>
      <c r="F447" s="102" t="b">
        <v>0</v>
      </c>
      <c r="G447" s="102" t="b">
        <v>0</v>
      </c>
    </row>
    <row r="448" spans="1:7" ht="15">
      <c r="A448" s="97" t="s">
        <v>440</v>
      </c>
      <c r="B448" s="102">
        <v>2</v>
      </c>
      <c r="C448" s="118">
        <v>0.0011074983101068089</v>
      </c>
      <c r="D448" s="102" t="s">
        <v>3110</v>
      </c>
      <c r="E448" s="102" t="b">
        <v>0</v>
      </c>
      <c r="F448" s="102" t="b">
        <v>0</v>
      </c>
      <c r="G448" s="102" t="b">
        <v>0</v>
      </c>
    </row>
    <row r="449" spans="1:7" ht="15">
      <c r="A449" s="97" t="s">
        <v>439</v>
      </c>
      <c r="B449" s="102">
        <v>2</v>
      </c>
      <c r="C449" s="118">
        <v>0.0011074983101068089</v>
      </c>
      <c r="D449" s="102" t="s">
        <v>3110</v>
      </c>
      <c r="E449" s="102" t="b">
        <v>0</v>
      </c>
      <c r="F449" s="102" t="b">
        <v>0</v>
      </c>
      <c r="G449" s="102" t="b">
        <v>0</v>
      </c>
    </row>
    <row r="450" spans="1:7" ht="15">
      <c r="A450" s="97" t="s">
        <v>438</v>
      </c>
      <c r="B450" s="102">
        <v>2</v>
      </c>
      <c r="C450" s="118">
        <v>0.0011074983101068089</v>
      </c>
      <c r="D450" s="102" t="s">
        <v>3110</v>
      </c>
      <c r="E450" s="102" t="b">
        <v>0</v>
      </c>
      <c r="F450" s="102" t="b">
        <v>0</v>
      </c>
      <c r="G450" s="102" t="b">
        <v>0</v>
      </c>
    </row>
    <row r="451" spans="1:7" ht="15">
      <c r="A451" s="97" t="s">
        <v>3034</v>
      </c>
      <c r="B451" s="102">
        <v>2</v>
      </c>
      <c r="C451" s="118">
        <v>0.0011074983101068089</v>
      </c>
      <c r="D451" s="102" t="s">
        <v>3110</v>
      </c>
      <c r="E451" s="102" t="b">
        <v>0</v>
      </c>
      <c r="F451" s="102" t="b">
        <v>0</v>
      </c>
      <c r="G451" s="102" t="b">
        <v>0</v>
      </c>
    </row>
    <row r="452" spans="1:7" ht="15">
      <c r="A452" s="97" t="s">
        <v>3035</v>
      </c>
      <c r="B452" s="102">
        <v>2</v>
      </c>
      <c r="C452" s="118">
        <v>0.0011074983101068089</v>
      </c>
      <c r="D452" s="102" t="s">
        <v>3110</v>
      </c>
      <c r="E452" s="102" t="b">
        <v>0</v>
      </c>
      <c r="F452" s="102" t="b">
        <v>0</v>
      </c>
      <c r="G452" s="102" t="b">
        <v>0</v>
      </c>
    </row>
    <row r="453" spans="1:7" ht="15">
      <c r="A453" s="97" t="s">
        <v>3036</v>
      </c>
      <c r="B453" s="102">
        <v>2</v>
      </c>
      <c r="C453" s="118">
        <v>0.0011074983101068089</v>
      </c>
      <c r="D453" s="102" t="s">
        <v>3110</v>
      </c>
      <c r="E453" s="102" t="b">
        <v>0</v>
      </c>
      <c r="F453" s="102" t="b">
        <v>0</v>
      </c>
      <c r="G453" s="102" t="b">
        <v>0</v>
      </c>
    </row>
    <row r="454" spans="1:7" ht="15">
      <c r="A454" s="97" t="s">
        <v>3037</v>
      </c>
      <c r="B454" s="102">
        <v>2</v>
      </c>
      <c r="C454" s="118">
        <v>0.0011074983101068089</v>
      </c>
      <c r="D454" s="102" t="s">
        <v>3110</v>
      </c>
      <c r="E454" s="102" t="b">
        <v>0</v>
      </c>
      <c r="F454" s="102" t="b">
        <v>0</v>
      </c>
      <c r="G454" s="102" t="b">
        <v>0</v>
      </c>
    </row>
    <row r="455" spans="1:7" ht="15">
      <c r="A455" s="97" t="s">
        <v>3038</v>
      </c>
      <c r="B455" s="102">
        <v>2</v>
      </c>
      <c r="C455" s="118">
        <v>0.0011074983101068089</v>
      </c>
      <c r="D455" s="102" t="s">
        <v>3110</v>
      </c>
      <c r="E455" s="102" t="b">
        <v>0</v>
      </c>
      <c r="F455" s="102" t="b">
        <v>0</v>
      </c>
      <c r="G455" s="102" t="b">
        <v>0</v>
      </c>
    </row>
    <row r="456" spans="1:7" ht="15">
      <c r="A456" s="97" t="s">
        <v>3039</v>
      </c>
      <c r="B456" s="102">
        <v>2</v>
      </c>
      <c r="C456" s="118">
        <v>0.0011074983101068089</v>
      </c>
      <c r="D456" s="102" t="s">
        <v>3110</v>
      </c>
      <c r="E456" s="102" t="b">
        <v>0</v>
      </c>
      <c r="F456" s="102" t="b">
        <v>0</v>
      </c>
      <c r="G456" s="102" t="b">
        <v>0</v>
      </c>
    </row>
    <row r="457" spans="1:7" ht="15">
      <c r="A457" s="97" t="s">
        <v>3040</v>
      </c>
      <c r="B457" s="102">
        <v>2</v>
      </c>
      <c r="C457" s="118">
        <v>0.0011074983101068089</v>
      </c>
      <c r="D457" s="102" t="s">
        <v>3110</v>
      </c>
      <c r="E457" s="102" t="b">
        <v>0</v>
      </c>
      <c r="F457" s="102" t="b">
        <v>0</v>
      </c>
      <c r="G457" s="102" t="b">
        <v>0</v>
      </c>
    </row>
    <row r="458" spans="1:7" ht="15">
      <c r="A458" s="97" t="s">
        <v>3041</v>
      </c>
      <c r="B458" s="102">
        <v>2</v>
      </c>
      <c r="C458" s="118">
        <v>0.0011074983101068089</v>
      </c>
      <c r="D458" s="102" t="s">
        <v>3110</v>
      </c>
      <c r="E458" s="102" t="b">
        <v>0</v>
      </c>
      <c r="F458" s="102" t="b">
        <v>0</v>
      </c>
      <c r="G458" s="102" t="b">
        <v>0</v>
      </c>
    </row>
    <row r="459" spans="1:7" ht="15">
      <c r="A459" s="97" t="s">
        <v>3042</v>
      </c>
      <c r="B459" s="102">
        <v>2</v>
      </c>
      <c r="C459" s="118">
        <v>0.0011074983101068089</v>
      </c>
      <c r="D459" s="102" t="s">
        <v>3110</v>
      </c>
      <c r="E459" s="102" t="b">
        <v>0</v>
      </c>
      <c r="F459" s="102" t="b">
        <v>0</v>
      </c>
      <c r="G459" s="102" t="b">
        <v>0</v>
      </c>
    </row>
    <row r="460" spans="1:7" ht="15">
      <c r="A460" s="97" t="s">
        <v>3043</v>
      </c>
      <c r="B460" s="102">
        <v>2</v>
      </c>
      <c r="C460" s="118">
        <v>0.0011074983101068089</v>
      </c>
      <c r="D460" s="102" t="s">
        <v>3110</v>
      </c>
      <c r="E460" s="102" t="b">
        <v>0</v>
      </c>
      <c r="F460" s="102" t="b">
        <v>0</v>
      </c>
      <c r="G460" s="102" t="b">
        <v>0</v>
      </c>
    </row>
    <row r="461" spans="1:7" ht="15">
      <c r="A461" s="97" t="s">
        <v>3044</v>
      </c>
      <c r="B461" s="102">
        <v>2</v>
      </c>
      <c r="C461" s="118">
        <v>0.0011074983101068089</v>
      </c>
      <c r="D461" s="102" t="s">
        <v>3110</v>
      </c>
      <c r="E461" s="102" t="b">
        <v>0</v>
      </c>
      <c r="F461" s="102" t="b">
        <v>0</v>
      </c>
      <c r="G461" s="102" t="b">
        <v>0</v>
      </c>
    </row>
    <row r="462" spans="1:7" ht="15">
      <c r="A462" s="97" t="s">
        <v>3045</v>
      </c>
      <c r="B462" s="102">
        <v>2</v>
      </c>
      <c r="C462" s="118">
        <v>0.0011074983101068089</v>
      </c>
      <c r="D462" s="102" t="s">
        <v>3110</v>
      </c>
      <c r="E462" s="102" t="b">
        <v>0</v>
      </c>
      <c r="F462" s="102" t="b">
        <v>0</v>
      </c>
      <c r="G462" s="102" t="b">
        <v>0</v>
      </c>
    </row>
    <row r="463" spans="1:7" ht="15">
      <c r="A463" s="97" t="s">
        <v>3046</v>
      </c>
      <c r="B463" s="102">
        <v>2</v>
      </c>
      <c r="C463" s="118">
        <v>0.0011074983101068089</v>
      </c>
      <c r="D463" s="102" t="s">
        <v>3110</v>
      </c>
      <c r="E463" s="102" t="b">
        <v>0</v>
      </c>
      <c r="F463" s="102" t="b">
        <v>0</v>
      </c>
      <c r="G463" s="102" t="b">
        <v>0</v>
      </c>
    </row>
    <row r="464" spans="1:7" ht="15">
      <c r="A464" s="97" t="s">
        <v>3047</v>
      </c>
      <c r="B464" s="102">
        <v>2</v>
      </c>
      <c r="C464" s="118">
        <v>0.0011074983101068089</v>
      </c>
      <c r="D464" s="102" t="s">
        <v>3110</v>
      </c>
      <c r="E464" s="102" t="b">
        <v>0</v>
      </c>
      <c r="F464" s="102" t="b">
        <v>0</v>
      </c>
      <c r="G464" s="102" t="b">
        <v>0</v>
      </c>
    </row>
    <row r="465" spans="1:7" ht="15">
      <c r="A465" s="97" t="s">
        <v>3048</v>
      </c>
      <c r="B465" s="102">
        <v>2</v>
      </c>
      <c r="C465" s="118">
        <v>0.0012662275458906113</v>
      </c>
      <c r="D465" s="102" t="s">
        <v>3110</v>
      </c>
      <c r="E465" s="102" t="b">
        <v>0</v>
      </c>
      <c r="F465" s="102" t="b">
        <v>0</v>
      </c>
      <c r="G465" s="102" t="b">
        <v>0</v>
      </c>
    </row>
    <row r="466" spans="1:7" ht="15">
      <c r="A466" s="97" t="s">
        <v>3049</v>
      </c>
      <c r="B466" s="102">
        <v>2</v>
      </c>
      <c r="C466" s="118">
        <v>0.0011074983101068089</v>
      </c>
      <c r="D466" s="102" t="s">
        <v>3110</v>
      </c>
      <c r="E466" s="102" t="b">
        <v>0</v>
      </c>
      <c r="F466" s="102" t="b">
        <v>0</v>
      </c>
      <c r="G466" s="102" t="b">
        <v>0</v>
      </c>
    </row>
    <row r="467" spans="1:7" ht="15">
      <c r="A467" s="97" t="s">
        <v>3050</v>
      </c>
      <c r="B467" s="102">
        <v>2</v>
      </c>
      <c r="C467" s="118">
        <v>0.0012662275458906113</v>
      </c>
      <c r="D467" s="102" t="s">
        <v>3110</v>
      </c>
      <c r="E467" s="102" t="b">
        <v>0</v>
      </c>
      <c r="F467" s="102" t="b">
        <v>0</v>
      </c>
      <c r="G467" s="102" t="b">
        <v>0</v>
      </c>
    </row>
    <row r="468" spans="1:7" ht="15">
      <c r="A468" s="97" t="s">
        <v>3051</v>
      </c>
      <c r="B468" s="102">
        <v>2</v>
      </c>
      <c r="C468" s="118">
        <v>0.0011074983101068089</v>
      </c>
      <c r="D468" s="102" t="s">
        <v>3110</v>
      </c>
      <c r="E468" s="102" t="b">
        <v>0</v>
      </c>
      <c r="F468" s="102" t="b">
        <v>0</v>
      </c>
      <c r="G468" s="102" t="b">
        <v>0</v>
      </c>
    </row>
    <row r="469" spans="1:7" ht="15">
      <c r="A469" s="97" t="s">
        <v>3052</v>
      </c>
      <c r="B469" s="102">
        <v>2</v>
      </c>
      <c r="C469" s="118">
        <v>0.0011074983101068089</v>
      </c>
      <c r="D469" s="102" t="s">
        <v>3110</v>
      </c>
      <c r="E469" s="102" t="b">
        <v>0</v>
      </c>
      <c r="F469" s="102" t="b">
        <v>0</v>
      </c>
      <c r="G469" s="102" t="b">
        <v>0</v>
      </c>
    </row>
    <row r="470" spans="1:7" ht="15">
      <c r="A470" s="97" t="s">
        <v>3053</v>
      </c>
      <c r="B470" s="102">
        <v>2</v>
      </c>
      <c r="C470" s="118">
        <v>0.0011074983101068089</v>
      </c>
      <c r="D470" s="102" t="s">
        <v>3110</v>
      </c>
      <c r="E470" s="102" t="b">
        <v>0</v>
      </c>
      <c r="F470" s="102" t="b">
        <v>0</v>
      </c>
      <c r="G470" s="102" t="b">
        <v>0</v>
      </c>
    </row>
    <row r="471" spans="1:7" ht="15">
      <c r="A471" s="97" t="s">
        <v>412</v>
      </c>
      <c r="B471" s="102">
        <v>2</v>
      </c>
      <c r="C471" s="118">
        <v>0.0011074983101068089</v>
      </c>
      <c r="D471" s="102" t="s">
        <v>3110</v>
      </c>
      <c r="E471" s="102" t="b">
        <v>0</v>
      </c>
      <c r="F471" s="102" t="b">
        <v>0</v>
      </c>
      <c r="G471" s="102" t="b">
        <v>0</v>
      </c>
    </row>
    <row r="472" spans="1:7" ht="15">
      <c r="A472" s="97" t="s">
        <v>3054</v>
      </c>
      <c r="B472" s="102">
        <v>2</v>
      </c>
      <c r="C472" s="118">
        <v>0.0011074983101068089</v>
      </c>
      <c r="D472" s="102" t="s">
        <v>3110</v>
      </c>
      <c r="E472" s="102" t="b">
        <v>0</v>
      </c>
      <c r="F472" s="102" t="b">
        <v>0</v>
      </c>
      <c r="G472" s="102" t="b">
        <v>0</v>
      </c>
    </row>
    <row r="473" spans="1:7" ht="15">
      <c r="A473" s="97" t="s">
        <v>3055</v>
      </c>
      <c r="B473" s="102">
        <v>2</v>
      </c>
      <c r="C473" s="118">
        <v>0.0011074983101068089</v>
      </c>
      <c r="D473" s="102" t="s">
        <v>3110</v>
      </c>
      <c r="E473" s="102" t="b">
        <v>0</v>
      </c>
      <c r="F473" s="102" t="b">
        <v>0</v>
      </c>
      <c r="G473" s="102" t="b">
        <v>0</v>
      </c>
    </row>
    <row r="474" spans="1:7" ht="15">
      <c r="A474" s="97" t="s">
        <v>3056</v>
      </c>
      <c r="B474" s="102">
        <v>2</v>
      </c>
      <c r="C474" s="118">
        <v>0.0011074983101068089</v>
      </c>
      <c r="D474" s="102" t="s">
        <v>3110</v>
      </c>
      <c r="E474" s="102" t="b">
        <v>0</v>
      </c>
      <c r="F474" s="102" t="b">
        <v>0</v>
      </c>
      <c r="G474" s="102" t="b">
        <v>0</v>
      </c>
    </row>
    <row r="475" spans="1:7" ht="15">
      <c r="A475" s="97" t="s">
        <v>3057</v>
      </c>
      <c r="B475" s="102">
        <v>2</v>
      </c>
      <c r="C475" s="118">
        <v>0.0012662275458906113</v>
      </c>
      <c r="D475" s="102" t="s">
        <v>3110</v>
      </c>
      <c r="E475" s="102" t="b">
        <v>0</v>
      </c>
      <c r="F475" s="102" t="b">
        <v>0</v>
      </c>
      <c r="G475" s="102" t="b">
        <v>0</v>
      </c>
    </row>
    <row r="476" spans="1:7" ht="15">
      <c r="A476" s="97" t="s">
        <v>3058</v>
      </c>
      <c r="B476" s="102">
        <v>2</v>
      </c>
      <c r="C476" s="118">
        <v>0.0012662275458906113</v>
      </c>
      <c r="D476" s="102" t="s">
        <v>3110</v>
      </c>
      <c r="E476" s="102" t="b">
        <v>0</v>
      </c>
      <c r="F476" s="102" t="b">
        <v>0</v>
      </c>
      <c r="G476" s="102" t="b">
        <v>0</v>
      </c>
    </row>
    <row r="477" spans="1:7" ht="15">
      <c r="A477" s="97" t="s">
        <v>248</v>
      </c>
      <c r="B477" s="102">
        <v>2</v>
      </c>
      <c r="C477" s="118">
        <v>0.0011074983101068089</v>
      </c>
      <c r="D477" s="102" t="s">
        <v>3110</v>
      </c>
      <c r="E477" s="102" t="b">
        <v>0</v>
      </c>
      <c r="F477" s="102" t="b">
        <v>0</v>
      </c>
      <c r="G477" s="102" t="b">
        <v>0</v>
      </c>
    </row>
    <row r="478" spans="1:7" ht="15">
      <c r="A478" s="97" t="s">
        <v>3059</v>
      </c>
      <c r="B478" s="102">
        <v>2</v>
      </c>
      <c r="C478" s="118">
        <v>0.0012662275458906113</v>
      </c>
      <c r="D478" s="102" t="s">
        <v>3110</v>
      </c>
      <c r="E478" s="102" t="b">
        <v>0</v>
      </c>
      <c r="F478" s="102" t="b">
        <v>0</v>
      </c>
      <c r="G478" s="102" t="b">
        <v>0</v>
      </c>
    </row>
    <row r="479" spans="1:7" ht="15">
      <c r="A479" s="97" t="s">
        <v>3060</v>
      </c>
      <c r="B479" s="102">
        <v>2</v>
      </c>
      <c r="C479" s="118">
        <v>0.0011074983101068089</v>
      </c>
      <c r="D479" s="102" t="s">
        <v>3110</v>
      </c>
      <c r="E479" s="102" t="b">
        <v>0</v>
      </c>
      <c r="F479" s="102" t="b">
        <v>0</v>
      </c>
      <c r="G479" s="102" t="b">
        <v>0</v>
      </c>
    </row>
    <row r="480" spans="1:7" ht="15">
      <c r="A480" s="97" t="s">
        <v>249</v>
      </c>
      <c r="B480" s="102">
        <v>2</v>
      </c>
      <c r="C480" s="118">
        <v>0.0011074983101068089</v>
      </c>
      <c r="D480" s="102" t="s">
        <v>3110</v>
      </c>
      <c r="E480" s="102" t="b">
        <v>0</v>
      </c>
      <c r="F480" s="102" t="b">
        <v>0</v>
      </c>
      <c r="G480" s="102" t="b">
        <v>0</v>
      </c>
    </row>
    <row r="481" spans="1:7" ht="15">
      <c r="A481" s="97" t="s">
        <v>3061</v>
      </c>
      <c r="B481" s="102">
        <v>2</v>
      </c>
      <c r="C481" s="118">
        <v>0.0012662275458906113</v>
      </c>
      <c r="D481" s="102" t="s">
        <v>3110</v>
      </c>
      <c r="E481" s="102" t="b">
        <v>0</v>
      </c>
      <c r="F481" s="102" t="b">
        <v>0</v>
      </c>
      <c r="G481" s="102" t="b">
        <v>0</v>
      </c>
    </row>
    <row r="482" spans="1:7" ht="15">
      <c r="A482" s="97" t="s">
        <v>393</v>
      </c>
      <c r="B482" s="102">
        <v>2</v>
      </c>
      <c r="C482" s="118">
        <v>0.0011074983101068089</v>
      </c>
      <c r="D482" s="102" t="s">
        <v>3110</v>
      </c>
      <c r="E482" s="102" t="b">
        <v>0</v>
      </c>
      <c r="F482" s="102" t="b">
        <v>0</v>
      </c>
      <c r="G482" s="102" t="b">
        <v>0</v>
      </c>
    </row>
    <row r="483" spans="1:7" ht="15">
      <c r="A483" s="97" t="s">
        <v>3062</v>
      </c>
      <c r="B483" s="102">
        <v>2</v>
      </c>
      <c r="C483" s="118">
        <v>0.0011074983101068089</v>
      </c>
      <c r="D483" s="102" t="s">
        <v>3110</v>
      </c>
      <c r="E483" s="102" t="b">
        <v>0</v>
      </c>
      <c r="F483" s="102" t="b">
        <v>0</v>
      </c>
      <c r="G483" s="102" t="b">
        <v>0</v>
      </c>
    </row>
    <row r="484" spans="1:7" ht="15">
      <c r="A484" s="97" t="s">
        <v>3063</v>
      </c>
      <c r="B484" s="102">
        <v>2</v>
      </c>
      <c r="C484" s="118">
        <v>0.0011074983101068089</v>
      </c>
      <c r="D484" s="102" t="s">
        <v>3110</v>
      </c>
      <c r="E484" s="102" t="b">
        <v>0</v>
      </c>
      <c r="F484" s="102" t="b">
        <v>0</v>
      </c>
      <c r="G484" s="102" t="b">
        <v>0</v>
      </c>
    </row>
    <row r="485" spans="1:7" ht="15">
      <c r="A485" s="97" t="s">
        <v>3064</v>
      </c>
      <c r="B485" s="102">
        <v>2</v>
      </c>
      <c r="C485" s="118">
        <v>0.0011074983101068089</v>
      </c>
      <c r="D485" s="102" t="s">
        <v>3110</v>
      </c>
      <c r="E485" s="102" t="b">
        <v>0</v>
      </c>
      <c r="F485" s="102" t="b">
        <v>0</v>
      </c>
      <c r="G485" s="102" t="b">
        <v>0</v>
      </c>
    </row>
    <row r="486" spans="1:7" ht="15">
      <c r="A486" s="97" t="s">
        <v>3065</v>
      </c>
      <c r="B486" s="102">
        <v>2</v>
      </c>
      <c r="C486" s="118">
        <v>0.0011074983101068089</v>
      </c>
      <c r="D486" s="102" t="s">
        <v>3110</v>
      </c>
      <c r="E486" s="102" t="b">
        <v>0</v>
      </c>
      <c r="F486" s="102" t="b">
        <v>0</v>
      </c>
      <c r="G486" s="102" t="b">
        <v>0</v>
      </c>
    </row>
    <row r="487" spans="1:7" ht="15">
      <c r="A487" s="97" t="s">
        <v>3066</v>
      </c>
      <c r="B487" s="102">
        <v>2</v>
      </c>
      <c r="C487" s="118">
        <v>0.0011074983101068089</v>
      </c>
      <c r="D487" s="102" t="s">
        <v>3110</v>
      </c>
      <c r="E487" s="102" t="b">
        <v>0</v>
      </c>
      <c r="F487" s="102" t="b">
        <v>0</v>
      </c>
      <c r="G487" s="102" t="b">
        <v>0</v>
      </c>
    </row>
    <row r="488" spans="1:7" ht="15">
      <c r="A488" s="97" t="s">
        <v>3067</v>
      </c>
      <c r="B488" s="102">
        <v>2</v>
      </c>
      <c r="C488" s="118">
        <v>0.0011074983101068089</v>
      </c>
      <c r="D488" s="102" t="s">
        <v>3110</v>
      </c>
      <c r="E488" s="102" t="b">
        <v>0</v>
      </c>
      <c r="F488" s="102" t="b">
        <v>0</v>
      </c>
      <c r="G488" s="102" t="b">
        <v>0</v>
      </c>
    </row>
    <row r="489" spans="1:7" ht="15">
      <c r="A489" s="97" t="s">
        <v>3068</v>
      </c>
      <c r="B489" s="102">
        <v>2</v>
      </c>
      <c r="C489" s="118">
        <v>0.0011074983101068089</v>
      </c>
      <c r="D489" s="102" t="s">
        <v>3110</v>
      </c>
      <c r="E489" s="102" t="b">
        <v>0</v>
      </c>
      <c r="F489" s="102" t="b">
        <v>0</v>
      </c>
      <c r="G489" s="102" t="b">
        <v>0</v>
      </c>
    </row>
    <row r="490" spans="1:7" ht="15">
      <c r="A490" s="97" t="s">
        <v>3069</v>
      </c>
      <c r="B490" s="102">
        <v>2</v>
      </c>
      <c r="C490" s="118">
        <v>0.0011074983101068089</v>
      </c>
      <c r="D490" s="102" t="s">
        <v>3110</v>
      </c>
      <c r="E490" s="102" t="b">
        <v>0</v>
      </c>
      <c r="F490" s="102" t="b">
        <v>0</v>
      </c>
      <c r="G490" s="102" t="b">
        <v>0</v>
      </c>
    </row>
    <row r="491" spans="1:7" ht="15">
      <c r="A491" s="97" t="s">
        <v>3070</v>
      </c>
      <c r="B491" s="102">
        <v>2</v>
      </c>
      <c r="C491" s="118">
        <v>0.0011074983101068089</v>
      </c>
      <c r="D491" s="102" t="s">
        <v>3110</v>
      </c>
      <c r="E491" s="102" t="b">
        <v>0</v>
      </c>
      <c r="F491" s="102" t="b">
        <v>0</v>
      </c>
      <c r="G491" s="102" t="b">
        <v>0</v>
      </c>
    </row>
    <row r="492" spans="1:7" ht="15">
      <c r="A492" s="97" t="s">
        <v>3071</v>
      </c>
      <c r="B492" s="102">
        <v>2</v>
      </c>
      <c r="C492" s="118">
        <v>0.0011074983101068089</v>
      </c>
      <c r="D492" s="102" t="s">
        <v>3110</v>
      </c>
      <c r="E492" s="102" t="b">
        <v>0</v>
      </c>
      <c r="F492" s="102" t="b">
        <v>0</v>
      </c>
      <c r="G492" s="102" t="b">
        <v>0</v>
      </c>
    </row>
    <row r="493" spans="1:7" ht="15">
      <c r="A493" s="97" t="s">
        <v>3072</v>
      </c>
      <c r="B493" s="102">
        <v>2</v>
      </c>
      <c r="C493" s="118">
        <v>0.0011074983101068089</v>
      </c>
      <c r="D493" s="102" t="s">
        <v>3110</v>
      </c>
      <c r="E493" s="102" t="b">
        <v>0</v>
      </c>
      <c r="F493" s="102" t="b">
        <v>0</v>
      </c>
      <c r="G493" s="102" t="b">
        <v>0</v>
      </c>
    </row>
    <row r="494" spans="1:7" ht="15">
      <c r="A494" s="97" t="s">
        <v>3073</v>
      </c>
      <c r="B494" s="102">
        <v>2</v>
      </c>
      <c r="C494" s="118">
        <v>0.0011074983101068089</v>
      </c>
      <c r="D494" s="102" t="s">
        <v>3110</v>
      </c>
      <c r="E494" s="102" t="b">
        <v>0</v>
      </c>
      <c r="F494" s="102" t="b">
        <v>0</v>
      </c>
      <c r="G494" s="102" t="b">
        <v>0</v>
      </c>
    </row>
    <row r="495" spans="1:7" ht="15">
      <c r="A495" s="97" t="s">
        <v>3074</v>
      </c>
      <c r="B495" s="102">
        <v>2</v>
      </c>
      <c r="C495" s="118">
        <v>0.0011074983101068089</v>
      </c>
      <c r="D495" s="102" t="s">
        <v>3110</v>
      </c>
      <c r="E495" s="102" t="b">
        <v>0</v>
      </c>
      <c r="F495" s="102" t="b">
        <v>0</v>
      </c>
      <c r="G495" s="102" t="b">
        <v>0</v>
      </c>
    </row>
    <row r="496" spans="1:7" ht="15">
      <c r="A496" s="97" t="s">
        <v>3075</v>
      </c>
      <c r="B496" s="102">
        <v>2</v>
      </c>
      <c r="C496" s="118">
        <v>0.0011074983101068089</v>
      </c>
      <c r="D496" s="102" t="s">
        <v>3110</v>
      </c>
      <c r="E496" s="102" t="b">
        <v>0</v>
      </c>
      <c r="F496" s="102" t="b">
        <v>0</v>
      </c>
      <c r="G496" s="102" t="b">
        <v>0</v>
      </c>
    </row>
    <row r="497" spans="1:7" ht="15">
      <c r="A497" s="97" t="s">
        <v>3076</v>
      </c>
      <c r="B497" s="102">
        <v>2</v>
      </c>
      <c r="C497" s="118">
        <v>0.0011074983101068089</v>
      </c>
      <c r="D497" s="102" t="s">
        <v>3110</v>
      </c>
      <c r="E497" s="102" t="b">
        <v>0</v>
      </c>
      <c r="F497" s="102" t="b">
        <v>0</v>
      </c>
      <c r="G497" s="102" t="b">
        <v>0</v>
      </c>
    </row>
    <row r="498" spans="1:7" ht="15">
      <c r="A498" s="97" t="s">
        <v>3077</v>
      </c>
      <c r="B498" s="102">
        <v>2</v>
      </c>
      <c r="C498" s="118">
        <v>0.0011074983101068089</v>
      </c>
      <c r="D498" s="102" t="s">
        <v>3110</v>
      </c>
      <c r="E498" s="102" t="b">
        <v>0</v>
      </c>
      <c r="F498" s="102" t="b">
        <v>0</v>
      </c>
      <c r="G498" s="102" t="b">
        <v>0</v>
      </c>
    </row>
    <row r="499" spans="1:7" ht="15">
      <c r="A499" s="97" t="s">
        <v>3078</v>
      </c>
      <c r="B499" s="102">
        <v>2</v>
      </c>
      <c r="C499" s="118">
        <v>0.0011074983101068089</v>
      </c>
      <c r="D499" s="102" t="s">
        <v>3110</v>
      </c>
      <c r="E499" s="102" t="b">
        <v>0</v>
      </c>
      <c r="F499" s="102" t="b">
        <v>0</v>
      </c>
      <c r="G499" s="102" t="b">
        <v>0</v>
      </c>
    </row>
    <row r="500" spans="1:7" ht="15">
      <c r="A500" s="97" t="s">
        <v>3079</v>
      </c>
      <c r="B500" s="102">
        <v>2</v>
      </c>
      <c r="C500" s="118">
        <v>0.0011074983101068089</v>
      </c>
      <c r="D500" s="102" t="s">
        <v>3110</v>
      </c>
      <c r="E500" s="102" t="b">
        <v>0</v>
      </c>
      <c r="F500" s="102" t="b">
        <v>0</v>
      </c>
      <c r="G500" s="102" t="b">
        <v>0</v>
      </c>
    </row>
    <row r="501" spans="1:7" ht="15">
      <c r="A501" s="97" t="s">
        <v>3080</v>
      </c>
      <c r="B501" s="102">
        <v>2</v>
      </c>
      <c r="C501" s="118">
        <v>0.0011074983101068089</v>
      </c>
      <c r="D501" s="102" t="s">
        <v>3110</v>
      </c>
      <c r="E501" s="102" t="b">
        <v>0</v>
      </c>
      <c r="F501" s="102" t="b">
        <v>0</v>
      </c>
      <c r="G501" s="102" t="b">
        <v>0</v>
      </c>
    </row>
    <row r="502" spans="1:7" ht="15">
      <c r="A502" s="97" t="s">
        <v>3081</v>
      </c>
      <c r="B502" s="102">
        <v>2</v>
      </c>
      <c r="C502" s="118">
        <v>0.0011074983101068089</v>
      </c>
      <c r="D502" s="102" t="s">
        <v>3110</v>
      </c>
      <c r="E502" s="102" t="b">
        <v>0</v>
      </c>
      <c r="F502" s="102" t="b">
        <v>0</v>
      </c>
      <c r="G502" s="102" t="b">
        <v>0</v>
      </c>
    </row>
    <row r="503" spans="1:7" ht="15">
      <c r="A503" s="97" t="s">
        <v>3082</v>
      </c>
      <c r="B503" s="102">
        <v>2</v>
      </c>
      <c r="C503" s="118">
        <v>0.0011074983101068089</v>
      </c>
      <c r="D503" s="102" t="s">
        <v>3110</v>
      </c>
      <c r="E503" s="102" t="b">
        <v>0</v>
      </c>
      <c r="F503" s="102" t="b">
        <v>0</v>
      </c>
      <c r="G503" s="102" t="b">
        <v>0</v>
      </c>
    </row>
    <row r="504" spans="1:7" ht="15">
      <c r="A504" s="97" t="s">
        <v>3083</v>
      </c>
      <c r="B504" s="102">
        <v>2</v>
      </c>
      <c r="C504" s="118">
        <v>0.0011074983101068089</v>
      </c>
      <c r="D504" s="102" t="s">
        <v>3110</v>
      </c>
      <c r="E504" s="102" t="b">
        <v>0</v>
      </c>
      <c r="F504" s="102" t="b">
        <v>0</v>
      </c>
      <c r="G504" s="102" t="b">
        <v>0</v>
      </c>
    </row>
    <row r="505" spans="1:7" ht="15">
      <c r="A505" s="97" t="s">
        <v>3084</v>
      </c>
      <c r="B505" s="102">
        <v>2</v>
      </c>
      <c r="C505" s="118">
        <v>0.0011074983101068089</v>
      </c>
      <c r="D505" s="102" t="s">
        <v>3110</v>
      </c>
      <c r="E505" s="102" t="b">
        <v>0</v>
      </c>
      <c r="F505" s="102" t="b">
        <v>0</v>
      </c>
      <c r="G505" s="102" t="b">
        <v>0</v>
      </c>
    </row>
    <row r="506" spans="1:7" ht="15">
      <c r="A506" s="97" t="s">
        <v>3085</v>
      </c>
      <c r="B506" s="102">
        <v>2</v>
      </c>
      <c r="C506" s="118">
        <v>0.0011074983101068089</v>
      </c>
      <c r="D506" s="102" t="s">
        <v>3110</v>
      </c>
      <c r="E506" s="102" t="b">
        <v>0</v>
      </c>
      <c r="F506" s="102" t="b">
        <v>0</v>
      </c>
      <c r="G506" s="102" t="b">
        <v>0</v>
      </c>
    </row>
    <row r="507" spans="1:7" ht="15">
      <c r="A507" s="97" t="s">
        <v>3086</v>
      </c>
      <c r="B507" s="102">
        <v>2</v>
      </c>
      <c r="C507" s="118">
        <v>0.0011074983101068089</v>
      </c>
      <c r="D507" s="102" t="s">
        <v>3110</v>
      </c>
      <c r="E507" s="102" t="b">
        <v>0</v>
      </c>
      <c r="F507" s="102" t="b">
        <v>0</v>
      </c>
      <c r="G507" s="102" t="b">
        <v>0</v>
      </c>
    </row>
    <row r="508" spans="1:7" ht="15">
      <c r="A508" s="97" t="s">
        <v>3087</v>
      </c>
      <c r="B508" s="102">
        <v>2</v>
      </c>
      <c r="C508" s="118">
        <v>0.0011074983101068089</v>
      </c>
      <c r="D508" s="102" t="s">
        <v>3110</v>
      </c>
      <c r="E508" s="102" t="b">
        <v>0</v>
      </c>
      <c r="F508" s="102" t="b">
        <v>0</v>
      </c>
      <c r="G508" s="102" t="b">
        <v>0</v>
      </c>
    </row>
    <row r="509" spans="1:7" ht="15">
      <c r="A509" s="97" t="s">
        <v>3088</v>
      </c>
      <c r="B509" s="102">
        <v>2</v>
      </c>
      <c r="C509" s="118">
        <v>0.0011074983101068089</v>
      </c>
      <c r="D509" s="102" t="s">
        <v>3110</v>
      </c>
      <c r="E509" s="102" t="b">
        <v>0</v>
      </c>
      <c r="F509" s="102" t="b">
        <v>0</v>
      </c>
      <c r="G509" s="102" t="b">
        <v>0</v>
      </c>
    </row>
    <row r="510" spans="1:7" ht="15">
      <c r="A510" s="97" t="s">
        <v>3089</v>
      </c>
      <c r="B510" s="102">
        <v>2</v>
      </c>
      <c r="C510" s="118">
        <v>0.0011074983101068089</v>
      </c>
      <c r="D510" s="102" t="s">
        <v>3110</v>
      </c>
      <c r="E510" s="102" t="b">
        <v>0</v>
      </c>
      <c r="F510" s="102" t="b">
        <v>0</v>
      </c>
      <c r="G510" s="102" t="b">
        <v>0</v>
      </c>
    </row>
    <row r="511" spans="1:7" ht="15">
      <c r="A511" s="97" t="s">
        <v>389</v>
      </c>
      <c r="B511" s="102">
        <v>2</v>
      </c>
      <c r="C511" s="118">
        <v>0.0011074983101068089</v>
      </c>
      <c r="D511" s="102" t="s">
        <v>3110</v>
      </c>
      <c r="E511" s="102" t="b">
        <v>0</v>
      </c>
      <c r="F511" s="102" t="b">
        <v>0</v>
      </c>
      <c r="G511" s="102" t="b">
        <v>0</v>
      </c>
    </row>
    <row r="512" spans="1:7" ht="15">
      <c r="A512" s="97" t="s">
        <v>387</v>
      </c>
      <c r="B512" s="102">
        <v>2</v>
      </c>
      <c r="C512" s="118">
        <v>0.0011074983101068089</v>
      </c>
      <c r="D512" s="102" t="s">
        <v>3110</v>
      </c>
      <c r="E512" s="102" t="b">
        <v>0</v>
      </c>
      <c r="F512" s="102" t="b">
        <v>0</v>
      </c>
      <c r="G512" s="102" t="b">
        <v>0</v>
      </c>
    </row>
    <row r="513" spans="1:7" ht="15">
      <c r="A513" s="97" t="s">
        <v>3090</v>
      </c>
      <c r="B513" s="102">
        <v>2</v>
      </c>
      <c r="C513" s="118">
        <v>0.0012662275458906113</v>
      </c>
      <c r="D513" s="102" t="s">
        <v>3110</v>
      </c>
      <c r="E513" s="102" t="b">
        <v>0</v>
      </c>
      <c r="F513" s="102" t="b">
        <v>0</v>
      </c>
      <c r="G513" s="102" t="b">
        <v>0</v>
      </c>
    </row>
    <row r="514" spans="1:7" ht="15">
      <c r="A514" s="97" t="s">
        <v>3091</v>
      </c>
      <c r="B514" s="102">
        <v>2</v>
      </c>
      <c r="C514" s="118">
        <v>0.0011074983101068089</v>
      </c>
      <c r="D514" s="102" t="s">
        <v>3110</v>
      </c>
      <c r="E514" s="102" t="b">
        <v>0</v>
      </c>
      <c r="F514" s="102" t="b">
        <v>0</v>
      </c>
      <c r="G514" s="102" t="b">
        <v>0</v>
      </c>
    </row>
    <row r="515" spans="1:7" ht="15">
      <c r="A515" s="97" t="s">
        <v>3092</v>
      </c>
      <c r="B515" s="102">
        <v>2</v>
      </c>
      <c r="C515" s="118">
        <v>0.0011074983101068089</v>
      </c>
      <c r="D515" s="102" t="s">
        <v>3110</v>
      </c>
      <c r="E515" s="102" t="b">
        <v>0</v>
      </c>
      <c r="F515" s="102" t="b">
        <v>0</v>
      </c>
      <c r="G515" s="102" t="b">
        <v>0</v>
      </c>
    </row>
    <row r="516" spans="1:7" ht="15">
      <c r="A516" s="97" t="s">
        <v>3093</v>
      </c>
      <c r="B516" s="102">
        <v>2</v>
      </c>
      <c r="C516" s="118">
        <v>0.0011074983101068089</v>
      </c>
      <c r="D516" s="102" t="s">
        <v>3110</v>
      </c>
      <c r="E516" s="102" t="b">
        <v>0</v>
      </c>
      <c r="F516" s="102" t="b">
        <v>0</v>
      </c>
      <c r="G516" s="102" t="b">
        <v>0</v>
      </c>
    </row>
    <row r="517" spans="1:7" ht="15">
      <c r="A517" s="97" t="s">
        <v>3094</v>
      </c>
      <c r="B517" s="102">
        <v>2</v>
      </c>
      <c r="C517" s="118">
        <v>0.0011074983101068089</v>
      </c>
      <c r="D517" s="102" t="s">
        <v>3110</v>
      </c>
      <c r="E517" s="102" t="b">
        <v>0</v>
      </c>
      <c r="F517" s="102" t="b">
        <v>0</v>
      </c>
      <c r="G517" s="102" t="b">
        <v>0</v>
      </c>
    </row>
    <row r="518" spans="1:7" ht="15">
      <c r="A518" s="97" t="s">
        <v>3095</v>
      </c>
      <c r="B518" s="102">
        <v>2</v>
      </c>
      <c r="C518" s="118">
        <v>0.0011074983101068089</v>
      </c>
      <c r="D518" s="102" t="s">
        <v>3110</v>
      </c>
      <c r="E518" s="102" t="b">
        <v>0</v>
      </c>
      <c r="F518" s="102" t="b">
        <v>0</v>
      </c>
      <c r="G518" s="102" t="b">
        <v>0</v>
      </c>
    </row>
    <row r="519" spans="1:7" ht="15">
      <c r="A519" s="97" t="s">
        <v>3096</v>
      </c>
      <c r="B519" s="102">
        <v>2</v>
      </c>
      <c r="C519" s="118">
        <v>0.0011074983101068089</v>
      </c>
      <c r="D519" s="102" t="s">
        <v>3110</v>
      </c>
      <c r="E519" s="102" t="b">
        <v>0</v>
      </c>
      <c r="F519" s="102" t="b">
        <v>0</v>
      </c>
      <c r="G519" s="102" t="b">
        <v>0</v>
      </c>
    </row>
    <row r="520" spans="1:7" ht="15">
      <c r="A520" s="97" t="s">
        <v>3097</v>
      </c>
      <c r="B520" s="102">
        <v>2</v>
      </c>
      <c r="C520" s="118">
        <v>0.0011074983101068089</v>
      </c>
      <c r="D520" s="102" t="s">
        <v>3110</v>
      </c>
      <c r="E520" s="102" t="b">
        <v>0</v>
      </c>
      <c r="F520" s="102" t="b">
        <v>0</v>
      </c>
      <c r="G520" s="102" t="b">
        <v>0</v>
      </c>
    </row>
    <row r="521" spans="1:7" ht="15">
      <c r="A521" s="97" t="s">
        <v>3098</v>
      </c>
      <c r="B521" s="102">
        <v>2</v>
      </c>
      <c r="C521" s="118">
        <v>0.0011074983101068089</v>
      </c>
      <c r="D521" s="102" t="s">
        <v>3110</v>
      </c>
      <c r="E521" s="102" t="b">
        <v>0</v>
      </c>
      <c r="F521" s="102" t="b">
        <v>0</v>
      </c>
      <c r="G521" s="102" t="b">
        <v>0</v>
      </c>
    </row>
    <row r="522" spans="1:7" ht="15">
      <c r="A522" s="97" t="s">
        <v>3099</v>
      </c>
      <c r="B522" s="102">
        <v>2</v>
      </c>
      <c r="C522" s="118">
        <v>0.0011074983101068089</v>
      </c>
      <c r="D522" s="102" t="s">
        <v>3110</v>
      </c>
      <c r="E522" s="102" t="b">
        <v>0</v>
      </c>
      <c r="F522" s="102" t="b">
        <v>0</v>
      </c>
      <c r="G522" s="102" t="b">
        <v>0</v>
      </c>
    </row>
    <row r="523" spans="1:7" ht="15">
      <c r="A523" s="97" t="s">
        <v>3100</v>
      </c>
      <c r="B523" s="102">
        <v>2</v>
      </c>
      <c r="C523" s="118">
        <v>0.0011074983101068089</v>
      </c>
      <c r="D523" s="102" t="s">
        <v>3110</v>
      </c>
      <c r="E523" s="102" t="b">
        <v>0</v>
      </c>
      <c r="F523" s="102" t="b">
        <v>0</v>
      </c>
      <c r="G523" s="102" t="b">
        <v>0</v>
      </c>
    </row>
    <row r="524" spans="1:7" ht="15">
      <c r="A524" s="97" t="s">
        <v>3101</v>
      </c>
      <c r="B524" s="102">
        <v>2</v>
      </c>
      <c r="C524" s="118">
        <v>0.0011074983101068089</v>
      </c>
      <c r="D524" s="102" t="s">
        <v>3110</v>
      </c>
      <c r="E524" s="102" t="b">
        <v>0</v>
      </c>
      <c r="F524" s="102" t="b">
        <v>0</v>
      </c>
      <c r="G524" s="102" t="b">
        <v>0</v>
      </c>
    </row>
    <row r="525" spans="1:7" ht="15">
      <c r="A525" s="97" t="s">
        <v>3102</v>
      </c>
      <c r="B525" s="102">
        <v>2</v>
      </c>
      <c r="C525" s="118">
        <v>0.0011074983101068089</v>
      </c>
      <c r="D525" s="102" t="s">
        <v>3110</v>
      </c>
      <c r="E525" s="102" t="b">
        <v>0</v>
      </c>
      <c r="F525" s="102" t="b">
        <v>0</v>
      </c>
      <c r="G525" s="102" t="b">
        <v>0</v>
      </c>
    </row>
    <row r="526" spans="1:7" ht="15">
      <c r="A526" s="97" t="s">
        <v>3103</v>
      </c>
      <c r="B526" s="102">
        <v>2</v>
      </c>
      <c r="C526" s="118">
        <v>0.0011074983101068089</v>
      </c>
      <c r="D526" s="102" t="s">
        <v>3110</v>
      </c>
      <c r="E526" s="102" t="b">
        <v>0</v>
      </c>
      <c r="F526" s="102" t="b">
        <v>0</v>
      </c>
      <c r="G526" s="102" t="b">
        <v>0</v>
      </c>
    </row>
    <row r="527" spans="1:7" ht="15">
      <c r="A527" s="97" t="s">
        <v>3104</v>
      </c>
      <c r="B527" s="102">
        <v>2</v>
      </c>
      <c r="C527" s="118">
        <v>0.0011074983101068089</v>
      </c>
      <c r="D527" s="102" t="s">
        <v>3110</v>
      </c>
      <c r="E527" s="102" t="b">
        <v>0</v>
      </c>
      <c r="F527" s="102" t="b">
        <v>0</v>
      </c>
      <c r="G527" s="102" t="b">
        <v>0</v>
      </c>
    </row>
    <row r="528" spans="1:7" ht="15">
      <c r="A528" s="97" t="s">
        <v>712</v>
      </c>
      <c r="B528" s="102">
        <v>50</v>
      </c>
      <c r="C528" s="118">
        <v>0.005136672261709377</v>
      </c>
      <c r="D528" s="102" t="s">
        <v>2607</v>
      </c>
      <c r="E528" s="102" t="b">
        <v>0</v>
      </c>
      <c r="F528" s="102" t="b">
        <v>0</v>
      </c>
      <c r="G528" s="102" t="b">
        <v>0</v>
      </c>
    </row>
    <row r="529" spans="1:7" ht="15">
      <c r="A529" s="97" t="s">
        <v>2666</v>
      </c>
      <c r="B529" s="102">
        <v>22</v>
      </c>
      <c r="C529" s="118">
        <v>0.011577646100370103</v>
      </c>
      <c r="D529" s="102" t="s">
        <v>2607</v>
      </c>
      <c r="E529" s="102" t="b">
        <v>0</v>
      </c>
      <c r="F529" s="102" t="b">
        <v>0</v>
      </c>
      <c r="G529" s="102" t="b">
        <v>0</v>
      </c>
    </row>
    <row r="530" spans="1:7" ht="15">
      <c r="A530" s="97" t="s">
        <v>2664</v>
      </c>
      <c r="B530" s="102">
        <v>22</v>
      </c>
      <c r="C530" s="118">
        <v>0.011577646100370103</v>
      </c>
      <c r="D530" s="102" t="s">
        <v>2607</v>
      </c>
      <c r="E530" s="102" t="b">
        <v>0</v>
      </c>
      <c r="F530" s="102" t="b">
        <v>0</v>
      </c>
      <c r="G530" s="102" t="b">
        <v>0</v>
      </c>
    </row>
    <row r="531" spans="1:7" ht="15">
      <c r="A531" s="97" t="s">
        <v>2667</v>
      </c>
      <c r="B531" s="102">
        <v>22</v>
      </c>
      <c r="C531" s="118">
        <v>0.011577646100370103</v>
      </c>
      <c r="D531" s="102" t="s">
        <v>2607</v>
      </c>
      <c r="E531" s="102" t="b">
        <v>0</v>
      </c>
      <c r="F531" s="102" t="b">
        <v>0</v>
      </c>
      <c r="G531" s="102" t="b">
        <v>0</v>
      </c>
    </row>
    <row r="532" spans="1:7" ht="15">
      <c r="A532" s="97" t="s">
        <v>2663</v>
      </c>
      <c r="B532" s="102">
        <v>22</v>
      </c>
      <c r="C532" s="118">
        <v>0.011577646100370103</v>
      </c>
      <c r="D532" s="102" t="s">
        <v>2607</v>
      </c>
      <c r="E532" s="102" t="b">
        <v>0</v>
      </c>
      <c r="F532" s="102" t="b">
        <v>0</v>
      </c>
      <c r="G532" s="102" t="b">
        <v>0</v>
      </c>
    </row>
    <row r="533" spans="1:7" ht="15">
      <c r="A533" s="97" t="s">
        <v>2668</v>
      </c>
      <c r="B533" s="102">
        <v>22</v>
      </c>
      <c r="C533" s="118">
        <v>0.011577646100370103</v>
      </c>
      <c r="D533" s="102" t="s">
        <v>2607</v>
      </c>
      <c r="E533" s="102" t="b">
        <v>0</v>
      </c>
      <c r="F533" s="102" t="b">
        <v>0</v>
      </c>
      <c r="G533" s="102" t="b">
        <v>0</v>
      </c>
    </row>
    <row r="534" spans="1:7" ht="15">
      <c r="A534" s="97" t="s">
        <v>2665</v>
      </c>
      <c r="B534" s="102">
        <v>21</v>
      </c>
      <c r="C534" s="118">
        <v>0.011581728344261723</v>
      </c>
      <c r="D534" s="102" t="s">
        <v>2607</v>
      </c>
      <c r="E534" s="102" t="b">
        <v>0</v>
      </c>
      <c r="F534" s="102" t="b">
        <v>0</v>
      </c>
      <c r="G534" s="102" t="b">
        <v>0</v>
      </c>
    </row>
    <row r="535" spans="1:7" ht="15">
      <c r="A535" s="97" t="s">
        <v>2669</v>
      </c>
      <c r="B535" s="102">
        <v>20</v>
      </c>
      <c r="C535" s="118">
        <v>0.011559949947473903</v>
      </c>
      <c r="D535" s="102" t="s">
        <v>2607</v>
      </c>
      <c r="E535" s="102" t="b">
        <v>0</v>
      </c>
      <c r="F535" s="102" t="b">
        <v>0</v>
      </c>
      <c r="G535" s="102" t="b">
        <v>0</v>
      </c>
    </row>
    <row r="536" spans="1:7" ht="15">
      <c r="A536" s="97" t="s">
        <v>2670</v>
      </c>
      <c r="B536" s="102">
        <v>20</v>
      </c>
      <c r="C536" s="118">
        <v>0.011559949947473903</v>
      </c>
      <c r="D536" s="102" t="s">
        <v>2607</v>
      </c>
      <c r="E536" s="102" t="b">
        <v>0</v>
      </c>
      <c r="F536" s="102" t="b">
        <v>0</v>
      </c>
      <c r="G536" s="102" t="b">
        <v>0</v>
      </c>
    </row>
    <row r="537" spans="1:7" ht="15">
      <c r="A537" s="97" t="s">
        <v>2671</v>
      </c>
      <c r="B537" s="102">
        <v>20</v>
      </c>
      <c r="C537" s="118">
        <v>0.011559949947473903</v>
      </c>
      <c r="D537" s="102" t="s">
        <v>2607</v>
      </c>
      <c r="E537" s="102" t="b">
        <v>0</v>
      </c>
      <c r="F537" s="102" t="b">
        <v>0</v>
      </c>
      <c r="G537" s="102" t="b">
        <v>0</v>
      </c>
    </row>
    <row r="538" spans="1:7" ht="15">
      <c r="A538" s="97" t="s">
        <v>2672</v>
      </c>
      <c r="B538" s="102">
        <v>20</v>
      </c>
      <c r="C538" s="118">
        <v>0.011559949947473903</v>
      </c>
      <c r="D538" s="102" t="s">
        <v>2607</v>
      </c>
      <c r="E538" s="102" t="b">
        <v>0</v>
      </c>
      <c r="F538" s="102" t="b">
        <v>0</v>
      </c>
      <c r="G538" s="102" t="b">
        <v>0</v>
      </c>
    </row>
    <row r="539" spans="1:7" ht="15">
      <c r="A539" s="97" t="s">
        <v>338</v>
      </c>
      <c r="B539" s="102">
        <v>16</v>
      </c>
      <c r="C539" s="118">
        <v>0.011186160218140251</v>
      </c>
      <c r="D539" s="102" t="s">
        <v>2607</v>
      </c>
      <c r="E539" s="102" t="b">
        <v>0</v>
      </c>
      <c r="F539" s="102" t="b">
        <v>0</v>
      </c>
      <c r="G539" s="102" t="b">
        <v>0</v>
      </c>
    </row>
    <row r="540" spans="1:7" ht="15">
      <c r="A540" s="97" t="s">
        <v>2660</v>
      </c>
      <c r="B540" s="102">
        <v>11</v>
      </c>
      <c r="C540" s="118">
        <v>0.009927985490564792</v>
      </c>
      <c r="D540" s="102" t="s">
        <v>2607</v>
      </c>
      <c r="E540" s="102" t="b">
        <v>0</v>
      </c>
      <c r="F540" s="102" t="b">
        <v>0</v>
      </c>
      <c r="G540" s="102" t="b">
        <v>0</v>
      </c>
    </row>
    <row r="541" spans="1:7" ht="15">
      <c r="A541" s="97" t="s">
        <v>2661</v>
      </c>
      <c r="B541" s="102">
        <v>10</v>
      </c>
      <c r="C541" s="118">
        <v>0.009542849919536717</v>
      </c>
      <c r="D541" s="102" t="s">
        <v>2607</v>
      </c>
      <c r="E541" s="102" t="b">
        <v>0</v>
      </c>
      <c r="F541" s="102" t="b">
        <v>0</v>
      </c>
      <c r="G541" s="102" t="b">
        <v>0</v>
      </c>
    </row>
    <row r="542" spans="1:7" ht="15">
      <c r="A542" s="97" t="s">
        <v>2673</v>
      </c>
      <c r="B542" s="102">
        <v>9</v>
      </c>
      <c r="C542" s="118">
        <v>0.00910333669639064</v>
      </c>
      <c r="D542" s="102" t="s">
        <v>2607</v>
      </c>
      <c r="E542" s="102" t="b">
        <v>0</v>
      </c>
      <c r="F542" s="102" t="b">
        <v>0</v>
      </c>
      <c r="G542" s="102" t="b">
        <v>0</v>
      </c>
    </row>
    <row r="543" spans="1:7" ht="15">
      <c r="A543" s="97" t="s">
        <v>2662</v>
      </c>
      <c r="B543" s="102">
        <v>9</v>
      </c>
      <c r="C543" s="118">
        <v>0.00910333669639064</v>
      </c>
      <c r="D543" s="102" t="s">
        <v>2607</v>
      </c>
      <c r="E543" s="102" t="b">
        <v>0</v>
      </c>
      <c r="F543" s="102" t="b">
        <v>0</v>
      </c>
      <c r="G543" s="102" t="b">
        <v>0</v>
      </c>
    </row>
    <row r="544" spans="1:7" ht="15">
      <c r="A544" s="97" t="s">
        <v>2683</v>
      </c>
      <c r="B544" s="102">
        <v>8</v>
      </c>
      <c r="C544" s="118">
        <v>0.008603380065709937</v>
      </c>
      <c r="D544" s="102" t="s">
        <v>2607</v>
      </c>
      <c r="E544" s="102" t="b">
        <v>0</v>
      </c>
      <c r="F544" s="102" t="b">
        <v>0</v>
      </c>
      <c r="G544" s="102" t="b">
        <v>0</v>
      </c>
    </row>
    <row r="545" spans="1:7" ht="15">
      <c r="A545" s="97" t="s">
        <v>2719</v>
      </c>
      <c r="B545" s="102">
        <v>7</v>
      </c>
      <c r="C545" s="118">
        <v>0.008035387093550955</v>
      </c>
      <c r="D545" s="102" t="s">
        <v>2607</v>
      </c>
      <c r="E545" s="102" t="b">
        <v>0</v>
      </c>
      <c r="F545" s="102" t="b">
        <v>0</v>
      </c>
      <c r="G545" s="102" t="b">
        <v>0</v>
      </c>
    </row>
    <row r="546" spans="1:7" ht="15">
      <c r="A546" s="97" t="s">
        <v>2682</v>
      </c>
      <c r="B546" s="102">
        <v>7</v>
      </c>
      <c r="C546" s="118">
        <v>0.008035387093550955</v>
      </c>
      <c r="D546" s="102" t="s">
        <v>2607</v>
      </c>
      <c r="E546" s="102" t="b">
        <v>0</v>
      </c>
      <c r="F546" s="102" t="b">
        <v>0</v>
      </c>
      <c r="G546" s="102" t="b">
        <v>0</v>
      </c>
    </row>
    <row r="547" spans="1:7" ht="15">
      <c r="A547" s="97" t="s">
        <v>2720</v>
      </c>
      <c r="B547" s="102">
        <v>7</v>
      </c>
      <c r="C547" s="118">
        <v>0.008035387093550955</v>
      </c>
      <c r="D547" s="102" t="s">
        <v>2607</v>
      </c>
      <c r="E547" s="102" t="b">
        <v>0</v>
      </c>
      <c r="F547" s="102" t="b">
        <v>0</v>
      </c>
      <c r="G547" s="102" t="b">
        <v>0</v>
      </c>
    </row>
    <row r="548" spans="1:7" ht="15">
      <c r="A548" s="97" t="s">
        <v>2721</v>
      </c>
      <c r="B548" s="102">
        <v>7</v>
      </c>
      <c r="C548" s="118">
        <v>0.008035387093550955</v>
      </c>
      <c r="D548" s="102" t="s">
        <v>2607</v>
      </c>
      <c r="E548" s="102" t="b">
        <v>0</v>
      </c>
      <c r="F548" s="102" t="b">
        <v>0</v>
      </c>
      <c r="G548" s="102" t="b">
        <v>0</v>
      </c>
    </row>
    <row r="549" spans="1:7" ht="15">
      <c r="A549" s="97" t="s">
        <v>2722</v>
      </c>
      <c r="B549" s="102">
        <v>7</v>
      </c>
      <c r="C549" s="118">
        <v>0.008035387093550955</v>
      </c>
      <c r="D549" s="102" t="s">
        <v>2607</v>
      </c>
      <c r="E549" s="102" t="b">
        <v>0</v>
      </c>
      <c r="F549" s="102" t="b">
        <v>0</v>
      </c>
      <c r="G549" s="102" t="b">
        <v>0</v>
      </c>
    </row>
    <row r="550" spans="1:7" ht="15">
      <c r="A550" s="97" t="s">
        <v>2723</v>
      </c>
      <c r="B550" s="102">
        <v>7</v>
      </c>
      <c r="C550" s="118">
        <v>0.008035387093550955</v>
      </c>
      <c r="D550" s="102" t="s">
        <v>2607</v>
      </c>
      <c r="E550" s="102" t="b">
        <v>0</v>
      </c>
      <c r="F550" s="102" t="b">
        <v>0</v>
      </c>
      <c r="G550" s="102" t="b">
        <v>0</v>
      </c>
    </row>
    <row r="551" spans="1:7" ht="15">
      <c r="A551" s="97" t="s">
        <v>2724</v>
      </c>
      <c r="B551" s="102">
        <v>7</v>
      </c>
      <c r="C551" s="118">
        <v>0.008035387093550955</v>
      </c>
      <c r="D551" s="102" t="s">
        <v>2607</v>
      </c>
      <c r="E551" s="102" t="b">
        <v>0</v>
      </c>
      <c r="F551" s="102" t="b">
        <v>0</v>
      </c>
      <c r="G551" s="102" t="b">
        <v>0</v>
      </c>
    </row>
    <row r="552" spans="1:7" ht="15">
      <c r="A552" s="97" t="s">
        <v>2725</v>
      </c>
      <c r="B552" s="102">
        <v>7</v>
      </c>
      <c r="C552" s="118">
        <v>0.008035387093550955</v>
      </c>
      <c r="D552" s="102" t="s">
        <v>2607</v>
      </c>
      <c r="E552" s="102" t="b">
        <v>0</v>
      </c>
      <c r="F552" s="102" t="b">
        <v>0</v>
      </c>
      <c r="G552" s="102" t="b">
        <v>0</v>
      </c>
    </row>
    <row r="553" spans="1:7" ht="15">
      <c r="A553" s="97" t="s">
        <v>2674</v>
      </c>
      <c r="B553" s="102">
        <v>7</v>
      </c>
      <c r="C553" s="118">
        <v>0.008035387093550955</v>
      </c>
      <c r="D553" s="102" t="s">
        <v>2607</v>
      </c>
      <c r="E553" s="102" t="b">
        <v>0</v>
      </c>
      <c r="F553" s="102" t="b">
        <v>0</v>
      </c>
      <c r="G553" s="102" t="b">
        <v>0</v>
      </c>
    </row>
    <row r="554" spans="1:7" ht="15">
      <c r="A554" s="97" t="s">
        <v>2714</v>
      </c>
      <c r="B554" s="102">
        <v>6</v>
      </c>
      <c r="C554" s="118">
        <v>0.00964730054132456</v>
      </c>
      <c r="D554" s="102" t="s">
        <v>2607</v>
      </c>
      <c r="E554" s="102" t="b">
        <v>0</v>
      </c>
      <c r="F554" s="102" t="b">
        <v>0</v>
      </c>
      <c r="G554" s="102" t="b">
        <v>0</v>
      </c>
    </row>
    <row r="555" spans="1:7" ht="15">
      <c r="A555" s="97" t="s">
        <v>2708</v>
      </c>
      <c r="B555" s="102">
        <v>5</v>
      </c>
      <c r="C555" s="118">
        <v>0.007258550013968593</v>
      </c>
      <c r="D555" s="102" t="s">
        <v>2607</v>
      </c>
      <c r="E555" s="102" t="b">
        <v>0</v>
      </c>
      <c r="F555" s="102" t="b">
        <v>0</v>
      </c>
      <c r="G555" s="102" t="b">
        <v>0</v>
      </c>
    </row>
    <row r="556" spans="1:7" ht="15">
      <c r="A556" s="97" t="s">
        <v>2755</v>
      </c>
      <c r="B556" s="102">
        <v>5</v>
      </c>
      <c r="C556" s="118">
        <v>0.0066528624326682405</v>
      </c>
      <c r="D556" s="102" t="s">
        <v>2607</v>
      </c>
      <c r="E556" s="102" t="b">
        <v>0</v>
      </c>
      <c r="F556" s="102" t="b">
        <v>0</v>
      </c>
      <c r="G556" s="102" t="b">
        <v>0</v>
      </c>
    </row>
    <row r="557" spans="1:7" ht="15">
      <c r="A557" s="97" t="s">
        <v>2756</v>
      </c>
      <c r="B557" s="102">
        <v>5</v>
      </c>
      <c r="C557" s="118">
        <v>0.0066528624326682405</v>
      </c>
      <c r="D557" s="102" t="s">
        <v>2607</v>
      </c>
      <c r="E557" s="102" t="b">
        <v>0</v>
      </c>
      <c r="F557" s="102" t="b">
        <v>0</v>
      </c>
      <c r="G557" s="102" t="b">
        <v>0</v>
      </c>
    </row>
    <row r="558" spans="1:7" ht="15">
      <c r="A558" s="97" t="s">
        <v>2757</v>
      </c>
      <c r="B558" s="102">
        <v>5</v>
      </c>
      <c r="C558" s="118">
        <v>0.0066528624326682405</v>
      </c>
      <c r="D558" s="102" t="s">
        <v>2607</v>
      </c>
      <c r="E558" s="102" t="b">
        <v>0</v>
      </c>
      <c r="F558" s="102" t="b">
        <v>0</v>
      </c>
      <c r="G558" s="102" t="b">
        <v>0</v>
      </c>
    </row>
    <row r="559" spans="1:7" ht="15">
      <c r="A559" s="97" t="s">
        <v>378</v>
      </c>
      <c r="B559" s="102">
        <v>5</v>
      </c>
      <c r="C559" s="118">
        <v>0.0066528624326682405</v>
      </c>
      <c r="D559" s="102" t="s">
        <v>2607</v>
      </c>
      <c r="E559" s="102" t="b">
        <v>0</v>
      </c>
      <c r="F559" s="102" t="b">
        <v>0</v>
      </c>
      <c r="G559" s="102" t="b">
        <v>0</v>
      </c>
    </row>
    <row r="560" spans="1:7" ht="15">
      <c r="A560" s="97" t="s">
        <v>433</v>
      </c>
      <c r="B560" s="102">
        <v>5</v>
      </c>
      <c r="C560" s="118">
        <v>0.0066528624326682405</v>
      </c>
      <c r="D560" s="102" t="s">
        <v>2607</v>
      </c>
      <c r="E560" s="102" t="b">
        <v>0</v>
      </c>
      <c r="F560" s="102" t="b">
        <v>0</v>
      </c>
      <c r="G560" s="102" t="b">
        <v>0</v>
      </c>
    </row>
    <row r="561" spans="1:7" ht="15">
      <c r="A561" s="97" t="s">
        <v>2741</v>
      </c>
      <c r="B561" s="102">
        <v>5</v>
      </c>
      <c r="C561" s="118">
        <v>0.0066528624326682405</v>
      </c>
      <c r="D561" s="102" t="s">
        <v>2607</v>
      </c>
      <c r="E561" s="102" t="b">
        <v>0</v>
      </c>
      <c r="F561" s="102" t="b">
        <v>0</v>
      </c>
      <c r="G561" s="102" t="b">
        <v>0</v>
      </c>
    </row>
    <row r="562" spans="1:7" ht="15">
      <c r="A562" s="97" t="s">
        <v>434</v>
      </c>
      <c r="B562" s="102">
        <v>4</v>
      </c>
      <c r="C562" s="118">
        <v>0.005806840011174874</v>
      </c>
      <c r="D562" s="102" t="s">
        <v>2607</v>
      </c>
      <c r="E562" s="102" t="b">
        <v>0</v>
      </c>
      <c r="F562" s="102" t="b">
        <v>0</v>
      </c>
      <c r="G562" s="102" t="b">
        <v>0</v>
      </c>
    </row>
    <row r="563" spans="1:7" ht="15">
      <c r="A563" s="97" t="s">
        <v>2681</v>
      </c>
      <c r="B563" s="102">
        <v>4</v>
      </c>
      <c r="C563" s="118">
        <v>0.005806840011174874</v>
      </c>
      <c r="D563" s="102" t="s">
        <v>2607</v>
      </c>
      <c r="E563" s="102" t="b">
        <v>0</v>
      </c>
      <c r="F563" s="102" t="b">
        <v>0</v>
      </c>
      <c r="G563" s="102" t="b">
        <v>0</v>
      </c>
    </row>
    <row r="564" spans="1:7" ht="15">
      <c r="A564" s="97" t="s">
        <v>2793</v>
      </c>
      <c r="B564" s="102">
        <v>4</v>
      </c>
      <c r="C564" s="118">
        <v>0.005806840011174874</v>
      </c>
      <c r="D564" s="102" t="s">
        <v>2607</v>
      </c>
      <c r="E564" s="102" t="b">
        <v>0</v>
      </c>
      <c r="F564" s="102" t="b">
        <v>0</v>
      </c>
      <c r="G564" s="102" t="b">
        <v>0</v>
      </c>
    </row>
    <row r="565" spans="1:7" ht="15">
      <c r="A565" s="97" t="s">
        <v>2794</v>
      </c>
      <c r="B565" s="102">
        <v>4</v>
      </c>
      <c r="C565" s="118">
        <v>0.005806840011174874</v>
      </c>
      <c r="D565" s="102" t="s">
        <v>2607</v>
      </c>
      <c r="E565" s="102" t="b">
        <v>0</v>
      </c>
      <c r="F565" s="102" t="b">
        <v>0</v>
      </c>
      <c r="G565" s="102" t="b">
        <v>0</v>
      </c>
    </row>
    <row r="566" spans="1:7" ht="15">
      <c r="A566" s="97" t="s">
        <v>2795</v>
      </c>
      <c r="B566" s="102">
        <v>4</v>
      </c>
      <c r="C566" s="118">
        <v>0.005806840011174874</v>
      </c>
      <c r="D566" s="102" t="s">
        <v>2607</v>
      </c>
      <c r="E566" s="102" t="b">
        <v>0</v>
      </c>
      <c r="F566" s="102" t="b">
        <v>0</v>
      </c>
      <c r="G566" s="102" t="b">
        <v>0</v>
      </c>
    </row>
    <row r="567" spans="1:7" ht="15">
      <c r="A567" s="97" t="s">
        <v>2796</v>
      </c>
      <c r="B567" s="102">
        <v>4</v>
      </c>
      <c r="C567" s="118">
        <v>0.005806840011174874</v>
      </c>
      <c r="D567" s="102" t="s">
        <v>2607</v>
      </c>
      <c r="E567" s="102" t="b">
        <v>0</v>
      </c>
      <c r="F567" s="102" t="b">
        <v>0</v>
      </c>
      <c r="G567" s="102" t="b">
        <v>0</v>
      </c>
    </row>
    <row r="568" spans="1:7" ht="15">
      <c r="A568" s="97" t="s">
        <v>2797</v>
      </c>
      <c r="B568" s="102">
        <v>4</v>
      </c>
      <c r="C568" s="118">
        <v>0.005806840011174874</v>
      </c>
      <c r="D568" s="102" t="s">
        <v>2607</v>
      </c>
      <c r="E568" s="102" t="b">
        <v>0</v>
      </c>
      <c r="F568" s="102" t="b">
        <v>0</v>
      </c>
      <c r="G568" s="102" t="b">
        <v>0</v>
      </c>
    </row>
    <row r="569" spans="1:7" ht="15">
      <c r="A569" s="97" t="s">
        <v>2798</v>
      </c>
      <c r="B569" s="102">
        <v>4</v>
      </c>
      <c r="C569" s="118">
        <v>0.005806840011174874</v>
      </c>
      <c r="D569" s="102" t="s">
        <v>2607</v>
      </c>
      <c r="E569" s="102" t="b">
        <v>0</v>
      </c>
      <c r="F569" s="102" t="b">
        <v>0</v>
      </c>
      <c r="G569" s="102" t="b">
        <v>0</v>
      </c>
    </row>
    <row r="570" spans="1:7" ht="15">
      <c r="A570" s="97" t="s">
        <v>2759</v>
      </c>
      <c r="B570" s="102">
        <v>4</v>
      </c>
      <c r="C570" s="118">
        <v>0.005806840011174874</v>
      </c>
      <c r="D570" s="102" t="s">
        <v>2607</v>
      </c>
      <c r="E570" s="102" t="b">
        <v>0</v>
      </c>
      <c r="F570" s="102" t="b">
        <v>0</v>
      </c>
      <c r="G570" s="102" t="b">
        <v>0</v>
      </c>
    </row>
    <row r="571" spans="1:7" ht="15">
      <c r="A571" s="97" t="s">
        <v>2758</v>
      </c>
      <c r="B571" s="102">
        <v>4</v>
      </c>
      <c r="C571" s="118">
        <v>0.005806840011174874</v>
      </c>
      <c r="D571" s="102" t="s">
        <v>2607</v>
      </c>
      <c r="E571" s="102" t="b">
        <v>0</v>
      </c>
      <c r="F571" s="102" t="b">
        <v>0</v>
      </c>
      <c r="G571" s="102" t="b">
        <v>0</v>
      </c>
    </row>
    <row r="572" spans="1:7" ht="15">
      <c r="A572" s="97" t="s">
        <v>2745</v>
      </c>
      <c r="B572" s="102">
        <v>4</v>
      </c>
      <c r="C572" s="118">
        <v>0.005806840011174874</v>
      </c>
      <c r="D572" s="102" t="s">
        <v>2607</v>
      </c>
      <c r="E572" s="102" t="b">
        <v>0</v>
      </c>
      <c r="F572" s="102" t="b">
        <v>0</v>
      </c>
      <c r="G572" s="102" t="b">
        <v>0</v>
      </c>
    </row>
    <row r="573" spans="1:7" ht="15">
      <c r="A573" s="97" t="s">
        <v>2799</v>
      </c>
      <c r="B573" s="102">
        <v>4</v>
      </c>
      <c r="C573" s="118">
        <v>0.005806840011174874</v>
      </c>
      <c r="D573" s="102" t="s">
        <v>2607</v>
      </c>
      <c r="E573" s="102" t="b">
        <v>0</v>
      </c>
      <c r="F573" s="102" t="b">
        <v>0</v>
      </c>
      <c r="G573" s="102" t="b">
        <v>0</v>
      </c>
    </row>
    <row r="574" spans="1:7" ht="15">
      <c r="A574" s="97" t="s">
        <v>2800</v>
      </c>
      <c r="B574" s="102">
        <v>4</v>
      </c>
      <c r="C574" s="118">
        <v>0.005806840011174874</v>
      </c>
      <c r="D574" s="102" t="s">
        <v>2607</v>
      </c>
      <c r="E574" s="102" t="b">
        <v>0</v>
      </c>
      <c r="F574" s="102" t="b">
        <v>0</v>
      </c>
      <c r="G574" s="102" t="b">
        <v>0</v>
      </c>
    </row>
    <row r="575" spans="1:7" ht="15">
      <c r="A575" s="97" t="s">
        <v>2801</v>
      </c>
      <c r="B575" s="102">
        <v>4</v>
      </c>
      <c r="C575" s="118">
        <v>0.005806840011174874</v>
      </c>
      <c r="D575" s="102" t="s">
        <v>2607</v>
      </c>
      <c r="E575" s="102" t="b">
        <v>0</v>
      </c>
      <c r="F575" s="102" t="b">
        <v>0</v>
      </c>
      <c r="G575" s="102" t="b">
        <v>0</v>
      </c>
    </row>
    <row r="576" spans="1:7" ht="15">
      <c r="A576" s="97" t="s">
        <v>2802</v>
      </c>
      <c r="B576" s="102">
        <v>4</v>
      </c>
      <c r="C576" s="118">
        <v>0.005806840011174874</v>
      </c>
      <c r="D576" s="102" t="s">
        <v>2607</v>
      </c>
      <c r="E576" s="102" t="b">
        <v>0</v>
      </c>
      <c r="F576" s="102" t="b">
        <v>0</v>
      </c>
      <c r="G576" s="102" t="b">
        <v>0</v>
      </c>
    </row>
    <row r="577" spans="1:7" ht="15">
      <c r="A577" s="97" t="s">
        <v>2729</v>
      </c>
      <c r="B577" s="102">
        <v>4</v>
      </c>
      <c r="C577" s="118">
        <v>0.005806840011174874</v>
      </c>
      <c r="D577" s="102" t="s">
        <v>2607</v>
      </c>
      <c r="E577" s="102" t="b">
        <v>0</v>
      </c>
      <c r="F577" s="102" t="b">
        <v>0</v>
      </c>
      <c r="G577" s="102" t="b">
        <v>0</v>
      </c>
    </row>
    <row r="578" spans="1:7" ht="15">
      <c r="A578" s="97" t="s">
        <v>2803</v>
      </c>
      <c r="B578" s="102">
        <v>4</v>
      </c>
      <c r="C578" s="118">
        <v>0.005806840011174874</v>
      </c>
      <c r="D578" s="102" t="s">
        <v>2607</v>
      </c>
      <c r="E578" s="102" t="b">
        <v>0</v>
      </c>
      <c r="F578" s="102" t="b">
        <v>0</v>
      </c>
      <c r="G578" s="102" t="b">
        <v>0</v>
      </c>
    </row>
    <row r="579" spans="1:7" ht="15">
      <c r="A579" s="97" t="s">
        <v>2804</v>
      </c>
      <c r="B579" s="102">
        <v>4</v>
      </c>
      <c r="C579" s="118">
        <v>0.005806840011174874</v>
      </c>
      <c r="D579" s="102" t="s">
        <v>2607</v>
      </c>
      <c r="E579" s="102" t="b">
        <v>0</v>
      </c>
      <c r="F579" s="102" t="b">
        <v>0</v>
      </c>
      <c r="G579" s="102" t="b">
        <v>0</v>
      </c>
    </row>
    <row r="580" spans="1:7" ht="15">
      <c r="A580" s="97" t="s">
        <v>2876</v>
      </c>
      <c r="B580" s="102">
        <v>3</v>
      </c>
      <c r="C580" s="118">
        <v>0.00482365027066228</v>
      </c>
      <c r="D580" s="102" t="s">
        <v>2607</v>
      </c>
      <c r="E580" s="102" t="b">
        <v>0</v>
      </c>
      <c r="F580" s="102" t="b">
        <v>0</v>
      </c>
      <c r="G580" s="102" t="b">
        <v>0</v>
      </c>
    </row>
    <row r="581" spans="1:7" ht="15">
      <c r="A581" s="97" t="s">
        <v>2877</v>
      </c>
      <c r="B581" s="102">
        <v>3</v>
      </c>
      <c r="C581" s="118">
        <v>0.00482365027066228</v>
      </c>
      <c r="D581" s="102" t="s">
        <v>2607</v>
      </c>
      <c r="E581" s="102" t="b">
        <v>0</v>
      </c>
      <c r="F581" s="102" t="b">
        <v>0</v>
      </c>
      <c r="G581" s="102" t="b">
        <v>0</v>
      </c>
    </row>
    <row r="582" spans="1:7" ht="15">
      <c r="A582" s="97" t="s">
        <v>2878</v>
      </c>
      <c r="B582" s="102">
        <v>3</v>
      </c>
      <c r="C582" s="118">
        <v>0.00482365027066228</v>
      </c>
      <c r="D582" s="102" t="s">
        <v>2607</v>
      </c>
      <c r="E582" s="102" t="b">
        <v>0</v>
      </c>
      <c r="F582" s="102" t="b">
        <v>0</v>
      </c>
      <c r="G582" s="102" t="b">
        <v>0</v>
      </c>
    </row>
    <row r="583" spans="1:7" ht="15">
      <c r="A583" s="97" t="s">
        <v>2879</v>
      </c>
      <c r="B583" s="102">
        <v>3</v>
      </c>
      <c r="C583" s="118">
        <v>0.00482365027066228</v>
      </c>
      <c r="D583" s="102" t="s">
        <v>2607</v>
      </c>
      <c r="E583" s="102" t="b">
        <v>0</v>
      </c>
      <c r="F583" s="102" t="b">
        <v>0</v>
      </c>
      <c r="G583" s="102" t="b">
        <v>0</v>
      </c>
    </row>
    <row r="584" spans="1:7" ht="15">
      <c r="A584" s="97" t="s">
        <v>2880</v>
      </c>
      <c r="B584" s="102">
        <v>3</v>
      </c>
      <c r="C584" s="118">
        <v>0.00482365027066228</v>
      </c>
      <c r="D584" s="102" t="s">
        <v>2607</v>
      </c>
      <c r="E584" s="102" t="b">
        <v>0</v>
      </c>
      <c r="F584" s="102" t="b">
        <v>0</v>
      </c>
      <c r="G584" s="102" t="b">
        <v>0</v>
      </c>
    </row>
    <row r="585" spans="1:7" ht="15">
      <c r="A585" s="97" t="s">
        <v>2881</v>
      </c>
      <c r="B585" s="102">
        <v>3</v>
      </c>
      <c r="C585" s="118">
        <v>0.00482365027066228</v>
      </c>
      <c r="D585" s="102" t="s">
        <v>2607</v>
      </c>
      <c r="E585" s="102" t="b">
        <v>0</v>
      </c>
      <c r="F585" s="102" t="b">
        <v>0</v>
      </c>
      <c r="G585" s="102" t="b">
        <v>0</v>
      </c>
    </row>
    <row r="586" spans="1:7" ht="15">
      <c r="A586" s="97" t="s">
        <v>2882</v>
      </c>
      <c r="B586" s="102">
        <v>3</v>
      </c>
      <c r="C586" s="118">
        <v>0.00482365027066228</v>
      </c>
      <c r="D586" s="102" t="s">
        <v>2607</v>
      </c>
      <c r="E586" s="102" t="b">
        <v>0</v>
      </c>
      <c r="F586" s="102" t="b">
        <v>0</v>
      </c>
      <c r="G586" s="102" t="b">
        <v>0</v>
      </c>
    </row>
    <row r="587" spans="1:7" ht="15">
      <c r="A587" s="97" t="s">
        <v>2883</v>
      </c>
      <c r="B587" s="102">
        <v>3</v>
      </c>
      <c r="C587" s="118">
        <v>0.00482365027066228</v>
      </c>
      <c r="D587" s="102" t="s">
        <v>2607</v>
      </c>
      <c r="E587" s="102" t="b">
        <v>0</v>
      </c>
      <c r="F587" s="102" t="b">
        <v>0</v>
      </c>
      <c r="G587" s="102" t="b">
        <v>0</v>
      </c>
    </row>
    <row r="588" spans="1:7" ht="15">
      <c r="A588" s="97" t="s">
        <v>2791</v>
      </c>
      <c r="B588" s="102">
        <v>3</v>
      </c>
      <c r="C588" s="118">
        <v>0.00482365027066228</v>
      </c>
      <c r="D588" s="102" t="s">
        <v>2607</v>
      </c>
      <c r="E588" s="102" t="b">
        <v>0</v>
      </c>
      <c r="F588" s="102" t="b">
        <v>0</v>
      </c>
      <c r="G588" s="102" t="b">
        <v>0</v>
      </c>
    </row>
    <row r="589" spans="1:7" ht="15">
      <c r="A589" s="97" t="s">
        <v>2884</v>
      </c>
      <c r="B589" s="102">
        <v>3</v>
      </c>
      <c r="C589" s="118">
        <v>0.00482365027066228</v>
      </c>
      <c r="D589" s="102" t="s">
        <v>2607</v>
      </c>
      <c r="E589" s="102" t="b">
        <v>0</v>
      </c>
      <c r="F589" s="102" t="b">
        <v>0</v>
      </c>
      <c r="G589" s="102" t="b">
        <v>0</v>
      </c>
    </row>
    <row r="590" spans="1:7" ht="15">
      <c r="A590" s="97" t="s">
        <v>2786</v>
      </c>
      <c r="B590" s="102">
        <v>3</v>
      </c>
      <c r="C590" s="118">
        <v>0.00482365027066228</v>
      </c>
      <c r="D590" s="102" t="s">
        <v>2607</v>
      </c>
      <c r="E590" s="102" t="b">
        <v>0</v>
      </c>
      <c r="F590" s="102" t="b">
        <v>0</v>
      </c>
      <c r="G590" s="102" t="b">
        <v>0</v>
      </c>
    </row>
    <row r="591" spans="1:7" ht="15">
      <c r="A591" s="97" t="s">
        <v>2885</v>
      </c>
      <c r="B591" s="102">
        <v>3</v>
      </c>
      <c r="C591" s="118">
        <v>0.00482365027066228</v>
      </c>
      <c r="D591" s="102" t="s">
        <v>2607</v>
      </c>
      <c r="E591" s="102" t="b">
        <v>0</v>
      </c>
      <c r="F591" s="102" t="b">
        <v>0</v>
      </c>
      <c r="G591" s="102" t="b">
        <v>0</v>
      </c>
    </row>
    <row r="592" spans="1:7" ht="15">
      <c r="A592" s="97" t="s">
        <v>2886</v>
      </c>
      <c r="B592" s="102">
        <v>3</v>
      </c>
      <c r="C592" s="118">
        <v>0.00482365027066228</v>
      </c>
      <c r="D592" s="102" t="s">
        <v>2607</v>
      </c>
      <c r="E592" s="102" t="b">
        <v>0</v>
      </c>
      <c r="F592" s="102" t="b">
        <v>0</v>
      </c>
      <c r="G592" s="102" t="b">
        <v>0</v>
      </c>
    </row>
    <row r="593" spans="1:7" ht="15">
      <c r="A593" s="97" t="s">
        <v>2887</v>
      </c>
      <c r="B593" s="102">
        <v>3</v>
      </c>
      <c r="C593" s="118">
        <v>0.00482365027066228</v>
      </c>
      <c r="D593" s="102" t="s">
        <v>2607</v>
      </c>
      <c r="E593" s="102" t="b">
        <v>0</v>
      </c>
      <c r="F593" s="102" t="b">
        <v>0</v>
      </c>
      <c r="G593" s="102" t="b">
        <v>0</v>
      </c>
    </row>
    <row r="594" spans="1:7" ht="15">
      <c r="A594" s="97" t="s">
        <v>2888</v>
      </c>
      <c r="B594" s="102">
        <v>3</v>
      </c>
      <c r="C594" s="118">
        <v>0.00482365027066228</v>
      </c>
      <c r="D594" s="102" t="s">
        <v>2607</v>
      </c>
      <c r="E594" s="102" t="b">
        <v>0</v>
      </c>
      <c r="F594" s="102" t="b">
        <v>0</v>
      </c>
      <c r="G594" s="102" t="b">
        <v>0</v>
      </c>
    </row>
    <row r="595" spans="1:7" ht="15">
      <c r="A595" s="97" t="s">
        <v>2889</v>
      </c>
      <c r="B595" s="102">
        <v>3</v>
      </c>
      <c r="C595" s="118">
        <v>0.00482365027066228</v>
      </c>
      <c r="D595" s="102" t="s">
        <v>2607</v>
      </c>
      <c r="E595" s="102" t="b">
        <v>0</v>
      </c>
      <c r="F595" s="102" t="b">
        <v>0</v>
      </c>
      <c r="G595" s="102" t="b">
        <v>0</v>
      </c>
    </row>
    <row r="596" spans="1:7" ht="15">
      <c r="A596" s="97" t="s">
        <v>2892</v>
      </c>
      <c r="B596" s="102">
        <v>3</v>
      </c>
      <c r="C596" s="118">
        <v>0.00482365027066228</v>
      </c>
      <c r="D596" s="102" t="s">
        <v>2607</v>
      </c>
      <c r="E596" s="102" t="b">
        <v>0</v>
      </c>
      <c r="F596" s="102" t="b">
        <v>0</v>
      </c>
      <c r="G596" s="102" t="b">
        <v>0</v>
      </c>
    </row>
    <row r="597" spans="1:7" ht="15">
      <c r="A597" s="97" t="s">
        <v>2893</v>
      </c>
      <c r="B597" s="102">
        <v>3</v>
      </c>
      <c r="C597" s="118">
        <v>0.00482365027066228</v>
      </c>
      <c r="D597" s="102" t="s">
        <v>2607</v>
      </c>
      <c r="E597" s="102" t="b">
        <v>0</v>
      </c>
      <c r="F597" s="102" t="b">
        <v>0</v>
      </c>
      <c r="G597" s="102" t="b">
        <v>0</v>
      </c>
    </row>
    <row r="598" spans="1:7" ht="15">
      <c r="A598" s="97" t="s">
        <v>2894</v>
      </c>
      <c r="B598" s="102">
        <v>3</v>
      </c>
      <c r="C598" s="118">
        <v>0.00482365027066228</v>
      </c>
      <c r="D598" s="102" t="s">
        <v>2607</v>
      </c>
      <c r="E598" s="102" t="b">
        <v>0</v>
      </c>
      <c r="F598" s="102" t="b">
        <v>0</v>
      </c>
      <c r="G598" s="102" t="b">
        <v>0</v>
      </c>
    </row>
    <row r="599" spans="1:7" ht="15">
      <c r="A599" s="97" t="s">
        <v>2895</v>
      </c>
      <c r="B599" s="102">
        <v>3</v>
      </c>
      <c r="C599" s="118">
        <v>0.00482365027066228</v>
      </c>
      <c r="D599" s="102" t="s">
        <v>2607</v>
      </c>
      <c r="E599" s="102" t="b">
        <v>0</v>
      </c>
      <c r="F599" s="102" t="b">
        <v>0</v>
      </c>
      <c r="G599" s="102" t="b">
        <v>0</v>
      </c>
    </row>
    <row r="600" spans="1:7" ht="15">
      <c r="A600" s="97" t="s">
        <v>2896</v>
      </c>
      <c r="B600" s="102">
        <v>3</v>
      </c>
      <c r="C600" s="118">
        <v>0.00482365027066228</v>
      </c>
      <c r="D600" s="102" t="s">
        <v>2607</v>
      </c>
      <c r="E600" s="102" t="b">
        <v>0</v>
      </c>
      <c r="F600" s="102" t="b">
        <v>0</v>
      </c>
      <c r="G600" s="102" t="b">
        <v>0</v>
      </c>
    </row>
    <row r="601" spans="1:7" ht="15">
      <c r="A601" s="97" t="s">
        <v>2713</v>
      </c>
      <c r="B601" s="102">
        <v>3</v>
      </c>
      <c r="C601" s="118">
        <v>0.00482365027066228</v>
      </c>
      <c r="D601" s="102" t="s">
        <v>2607</v>
      </c>
      <c r="E601" s="102" t="b">
        <v>0</v>
      </c>
      <c r="F601" s="102" t="b">
        <v>0</v>
      </c>
      <c r="G601" s="102" t="b">
        <v>0</v>
      </c>
    </row>
    <row r="602" spans="1:7" ht="15">
      <c r="A602" s="97" t="s">
        <v>3043</v>
      </c>
      <c r="B602" s="102">
        <v>2</v>
      </c>
      <c r="C602" s="118">
        <v>0.0036559949947473904</v>
      </c>
      <c r="D602" s="102" t="s">
        <v>2607</v>
      </c>
      <c r="E602" s="102" t="b">
        <v>0</v>
      </c>
      <c r="F602" s="102" t="b">
        <v>0</v>
      </c>
      <c r="G602" s="102" t="b">
        <v>0</v>
      </c>
    </row>
    <row r="603" spans="1:7" ht="15">
      <c r="A603" s="97" t="s">
        <v>3044</v>
      </c>
      <c r="B603" s="102">
        <v>2</v>
      </c>
      <c r="C603" s="118">
        <v>0.0036559949947473904</v>
      </c>
      <c r="D603" s="102" t="s">
        <v>2607</v>
      </c>
      <c r="E603" s="102" t="b">
        <v>0</v>
      </c>
      <c r="F603" s="102" t="b">
        <v>0</v>
      </c>
      <c r="G603" s="102" t="b">
        <v>0</v>
      </c>
    </row>
    <row r="604" spans="1:7" ht="15">
      <c r="A604" s="97" t="s">
        <v>2875</v>
      </c>
      <c r="B604" s="102">
        <v>2</v>
      </c>
      <c r="C604" s="118">
        <v>0.0036559949947473904</v>
      </c>
      <c r="D604" s="102" t="s">
        <v>2607</v>
      </c>
      <c r="E604" s="102" t="b">
        <v>0</v>
      </c>
      <c r="F604" s="102" t="b">
        <v>0</v>
      </c>
      <c r="G604" s="102" t="b">
        <v>0</v>
      </c>
    </row>
    <row r="605" spans="1:7" ht="15">
      <c r="A605" s="97" t="s">
        <v>2813</v>
      </c>
      <c r="B605" s="102">
        <v>2</v>
      </c>
      <c r="C605" s="118">
        <v>0.004408569983907344</v>
      </c>
      <c r="D605" s="102" t="s">
        <v>2607</v>
      </c>
      <c r="E605" s="102" t="b">
        <v>0</v>
      </c>
      <c r="F605" s="102" t="b">
        <v>0</v>
      </c>
      <c r="G605" s="102" t="b">
        <v>0</v>
      </c>
    </row>
    <row r="606" spans="1:7" ht="15">
      <c r="A606" s="97" t="s">
        <v>2731</v>
      </c>
      <c r="B606" s="102">
        <v>2</v>
      </c>
      <c r="C606" s="118">
        <v>0.0036559949947473904</v>
      </c>
      <c r="D606" s="102" t="s">
        <v>2607</v>
      </c>
      <c r="E606" s="102" t="b">
        <v>0</v>
      </c>
      <c r="F606" s="102" t="b">
        <v>0</v>
      </c>
      <c r="G606" s="102" t="b">
        <v>0</v>
      </c>
    </row>
    <row r="607" spans="1:7" ht="15">
      <c r="A607" s="97" t="s">
        <v>2814</v>
      </c>
      <c r="B607" s="102">
        <v>2</v>
      </c>
      <c r="C607" s="118">
        <v>0.0036559949947473904</v>
      </c>
      <c r="D607" s="102" t="s">
        <v>2607</v>
      </c>
      <c r="E607" s="102" t="b">
        <v>0</v>
      </c>
      <c r="F607" s="102" t="b">
        <v>0</v>
      </c>
      <c r="G607" s="102" t="b">
        <v>0</v>
      </c>
    </row>
    <row r="608" spans="1:7" ht="15">
      <c r="A608" s="97" t="s">
        <v>2900</v>
      </c>
      <c r="B608" s="102">
        <v>2</v>
      </c>
      <c r="C608" s="118">
        <v>0.0036559949947473904</v>
      </c>
      <c r="D608" s="102" t="s">
        <v>2607</v>
      </c>
      <c r="E608" s="102" t="b">
        <v>0</v>
      </c>
      <c r="F608" s="102" t="b">
        <v>0</v>
      </c>
      <c r="G608" s="102" t="b">
        <v>0</v>
      </c>
    </row>
    <row r="609" spans="1:7" ht="15">
      <c r="A609" s="97" t="s">
        <v>3035</v>
      </c>
      <c r="B609" s="102">
        <v>2</v>
      </c>
      <c r="C609" s="118">
        <v>0.0036559949947473904</v>
      </c>
      <c r="D609" s="102" t="s">
        <v>2607</v>
      </c>
      <c r="E609" s="102" t="b">
        <v>0</v>
      </c>
      <c r="F609" s="102" t="b">
        <v>0</v>
      </c>
      <c r="G609" s="102" t="b">
        <v>0</v>
      </c>
    </row>
    <row r="610" spans="1:7" ht="15">
      <c r="A610" s="97" t="s">
        <v>301</v>
      </c>
      <c r="B610" s="102">
        <v>2</v>
      </c>
      <c r="C610" s="118">
        <v>0.0036559949947473904</v>
      </c>
      <c r="D610" s="102" t="s">
        <v>2607</v>
      </c>
      <c r="E610" s="102" t="b">
        <v>0</v>
      </c>
      <c r="F610" s="102" t="b">
        <v>0</v>
      </c>
      <c r="G610" s="102" t="b">
        <v>0</v>
      </c>
    </row>
    <row r="611" spans="1:7" ht="15">
      <c r="A611" s="97" t="s">
        <v>3017</v>
      </c>
      <c r="B611" s="102">
        <v>2</v>
      </c>
      <c r="C611" s="118">
        <v>0.004408569983907344</v>
      </c>
      <c r="D611" s="102" t="s">
        <v>2607</v>
      </c>
      <c r="E611" s="102" t="b">
        <v>0</v>
      </c>
      <c r="F611" s="102" t="b">
        <v>0</v>
      </c>
      <c r="G611" s="102" t="b">
        <v>0</v>
      </c>
    </row>
    <row r="612" spans="1:7" ht="15">
      <c r="A612" s="97" t="s">
        <v>3018</v>
      </c>
      <c r="B612" s="102">
        <v>2</v>
      </c>
      <c r="C612" s="118">
        <v>0.0036559949947473904</v>
      </c>
      <c r="D612" s="102" t="s">
        <v>2607</v>
      </c>
      <c r="E612" s="102" t="b">
        <v>0</v>
      </c>
      <c r="F612" s="102" t="b">
        <v>0</v>
      </c>
      <c r="G612" s="102" t="b">
        <v>0</v>
      </c>
    </row>
    <row r="613" spans="1:7" ht="15">
      <c r="A613" s="97" t="s">
        <v>2897</v>
      </c>
      <c r="B613" s="102">
        <v>2</v>
      </c>
      <c r="C613" s="118">
        <v>0.0036559949947473904</v>
      </c>
      <c r="D613" s="102" t="s">
        <v>2607</v>
      </c>
      <c r="E613" s="102" t="b">
        <v>0</v>
      </c>
      <c r="F613" s="102" t="b">
        <v>0</v>
      </c>
      <c r="G613" s="102" t="b">
        <v>0</v>
      </c>
    </row>
    <row r="614" spans="1:7" ht="15">
      <c r="A614" s="97" t="s">
        <v>2718</v>
      </c>
      <c r="B614" s="102">
        <v>2</v>
      </c>
      <c r="C614" s="118">
        <v>0.0036559949947473904</v>
      </c>
      <c r="D614" s="102" t="s">
        <v>2607</v>
      </c>
      <c r="E614" s="102" t="b">
        <v>0</v>
      </c>
      <c r="F614" s="102" t="b">
        <v>0</v>
      </c>
      <c r="G614" s="102" t="b">
        <v>0</v>
      </c>
    </row>
    <row r="615" spans="1:7" ht="15">
      <c r="A615" s="97" t="s">
        <v>3057</v>
      </c>
      <c r="B615" s="102">
        <v>2</v>
      </c>
      <c r="C615" s="118">
        <v>0.004408569983907344</v>
      </c>
      <c r="D615" s="102" t="s">
        <v>2607</v>
      </c>
      <c r="E615" s="102" t="b">
        <v>0</v>
      </c>
      <c r="F615" s="102" t="b">
        <v>0</v>
      </c>
      <c r="G615" s="102" t="b">
        <v>0</v>
      </c>
    </row>
    <row r="616" spans="1:7" ht="15">
      <c r="A616" s="97" t="s">
        <v>712</v>
      </c>
      <c r="B616" s="102">
        <v>32</v>
      </c>
      <c r="C616" s="118">
        <v>0.003953184835123978</v>
      </c>
      <c r="D616" s="102" t="s">
        <v>2608</v>
      </c>
      <c r="E616" s="102" t="b">
        <v>0</v>
      </c>
      <c r="F616" s="102" t="b">
        <v>0</v>
      </c>
      <c r="G616" s="102" t="b">
        <v>0</v>
      </c>
    </row>
    <row r="617" spans="1:7" ht="15">
      <c r="A617" s="97" t="s">
        <v>459</v>
      </c>
      <c r="B617" s="102">
        <v>25</v>
      </c>
      <c r="C617" s="118">
        <v>0.006843316535167098</v>
      </c>
      <c r="D617" s="102" t="s">
        <v>2608</v>
      </c>
      <c r="E617" s="102" t="b">
        <v>0</v>
      </c>
      <c r="F617" s="102" t="b">
        <v>0</v>
      </c>
      <c r="G617" s="102" t="b">
        <v>0</v>
      </c>
    </row>
    <row r="618" spans="1:7" ht="15">
      <c r="A618" s="97" t="s">
        <v>458</v>
      </c>
      <c r="B618" s="102">
        <v>25</v>
      </c>
      <c r="C618" s="118">
        <v>0.006843316535167098</v>
      </c>
      <c r="D618" s="102" t="s">
        <v>2608</v>
      </c>
      <c r="E618" s="102" t="b">
        <v>0</v>
      </c>
      <c r="F618" s="102" t="b">
        <v>0</v>
      </c>
      <c r="G618" s="102" t="b">
        <v>0</v>
      </c>
    </row>
    <row r="619" spans="1:7" ht="15">
      <c r="A619" s="97" t="s">
        <v>372</v>
      </c>
      <c r="B619" s="102">
        <v>7</v>
      </c>
      <c r="C619" s="118">
        <v>0.008137822810882905</v>
      </c>
      <c r="D619" s="102" t="s">
        <v>2608</v>
      </c>
      <c r="E619" s="102" t="b">
        <v>0</v>
      </c>
      <c r="F619" s="102" t="b">
        <v>0</v>
      </c>
      <c r="G619" s="102" t="b">
        <v>0</v>
      </c>
    </row>
    <row r="620" spans="1:7" ht="15">
      <c r="A620" s="97" t="s">
        <v>2707</v>
      </c>
      <c r="B620" s="102">
        <v>6</v>
      </c>
      <c r="C620" s="118">
        <v>0.008384871894511025</v>
      </c>
      <c r="D620" s="102" t="s">
        <v>2608</v>
      </c>
      <c r="E620" s="102" t="b">
        <v>0</v>
      </c>
      <c r="F620" s="102" t="b">
        <v>0</v>
      </c>
      <c r="G620" s="102" t="b">
        <v>0</v>
      </c>
    </row>
    <row r="621" spans="1:7" ht="15">
      <c r="A621" s="97" t="s">
        <v>2706</v>
      </c>
      <c r="B621" s="102">
        <v>6</v>
      </c>
      <c r="C621" s="118">
        <v>0.007621065662540367</v>
      </c>
      <c r="D621" s="102" t="s">
        <v>2608</v>
      </c>
      <c r="E621" s="102" t="b">
        <v>0</v>
      </c>
      <c r="F621" s="102" t="b">
        <v>0</v>
      </c>
      <c r="G621" s="102" t="b">
        <v>0</v>
      </c>
    </row>
    <row r="622" spans="1:7" ht="15">
      <c r="A622" s="97" t="s">
        <v>2710</v>
      </c>
      <c r="B622" s="102">
        <v>5</v>
      </c>
      <c r="C622" s="118">
        <v>0.006987393245425854</v>
      </c>
      <c r="D622" s="102" t="s">
        <v>2608</v>
      </c>
      <c r="E622" s="102" t="b">
        <v>0</v>
      </c>
      <c r="F622" s="102" t="b">
        <v>0</v>
      </c>
      <c r="G622" s="102" t="b">
        <v>0</v>
      </c>
    </row>
    <row r="623" spans="1:7" ht="15">
      <c r="A623" s="97" t="s">
        <v>2784</v>
      </c>
      <c r="B623" s="102">
        <v>4</v>
      </c>
      <c r="C623" s="118">
        <v>0.00621313011407738</v>
      </c>
      <c r="D623" s="102" t="s">
        <v>2608</v>
      </c>
      <c r="E623" s="102" t="b">
        <v>0</v>
      </c>
      <c r="F623" s="102" t="b">
        <v>0</v>
      </c>
      <c r="G623" s="102" t="b">
        <v>0</v>
      </c>
    </row>
    <row r="624" spans="1:7" ht="15">
      <c r="A624" s="97" t="s">
        <v>2782</v>
      </c>
      <c r="B624" s="102">
        <v>4</v>
      </c>
      <c r="C624" s="118">
        <v>0.00621313011407738</v>
      </c>
      <c r="D624" s="102" t="s">
        <v>2608</v>
      </c>
      <c r="E624" s="102" t="b">
        <v>0</v>
      </c>
      <c r="F624" s="102" t="b">
        <v>0</v>
      </c>
      <c r="G624" s="102" t="b">
        <v>0</v>
      </c>
    </row>
    <row r="625" spans="1:7" ht="15">
      <c r="A625" s="97" t="s">
        <v>2753</v>
      </c>
      <c r="B625" s="102">
        <v>4</v>
      </c>
      <c r="C625" s="118">
        <v>0.00621313011407738</v>
      </c>
      <c r="D625" s="102" t="s">
        <v>2608</v>
      </c>
      <c r="E625" s="102" t="b">
        <v>0</v>
      </c>
      <c r="F625" s="102" t="b">
        <v>0</v>
      </c>
      <c r="G625" s="102" t="b">
        <v>0</v>
      </c>
    </row>
    <row r="626" spans="1:7" ht="15">
      <c r="A626" s="97" t="s">
        <v>2681</v>
      </c>
      <c r="B626" s="102">
        <v>4</v>
      </c>
      <c r="C626" s="118">
        <v>0.00621313011407738</v>
      </c>
      <c r="D626" s="102" t="s">
        <v>2608</v>
      </c>
      <c r="E626" s="102" t="b">
        <v>0</v>
      </c>
      <c r="F626" s="102" t="b">
        <v>0</v>
      </c>
      <c r="G626" s="102" t="b">
        <v>0</v>
      </c>
    </row>
    <row r="627" spans="1:7" ht="15">
      <c r="A627" s="97" t="s">
        <v>2662</v>
      </c>
      <c r="B627" s="102">
        <v>4</v>
      </c>
      <c r="C627" s="118">
        <v>0.00621313011407738</v>
      </c>
      <c r="D627" s="102" t="s">
        <v>2608</v>
      </c>
      <c r="E627" s="102" t="b">
        <v>0</v>
      </c>
      <c r="F627" s="102" t="b">
        <v>0</v>
      </c>
      <c r="G627" s="102" t="b">
        <v>0</v>
      </c>
    </row>
    <row r="628" spans="1:7" ht="15">
      <c r="A628" s="97" t="s">
        <v>2792</v>
      </c>
      <c r="B628" s="102">
        <v>4</v>
      </c>
      <c r="C628" s="118">
        <v>0.00621313011407738</v>
      </c>
      <c r="D628" s="102" t="s">
        <v>2608</v>
      </c>
      <c r="E628" s="102" t="b">
        <v>0</v>
      </c>
      <c r="F628" s="102" t="b">
        <v>0</v>
      </c>
      <c r="G628" s="102" t="b">
        <v>0</v>
      </c>
    </row>
    <row r="629" spans="1:7" ht="15">
      <c r="A629" s="97" t="s">
        <v>2664</v>
      </c>
      <c r="B629" s="102">
        <v>3</v>
      </c>
      <c r="C629" s="118">
        <v>0.005262445993636653</v>
      </c>
      <c r="D629" s="102" t="s">
        <v>2608</v>
      </c>
      <c r="E629" s="102" t="b">
        <v>0</v>
      </c>
      <c r="F629" s="102" t="b">
        <v>0</v>
      </c>
      <c r="G629" s="102" t="b">
        <v>0</v>
      </c>
    </row>
    <row r="630" spans="1:7" ht="15">
      <c r="A630" s="97" t="s">
        <v>2853</v>
      </c>
      <c r="B630" s="102">
        <v>3</v>
      </c>
      <c r="C630" s="118">
        <v>0.005262445993636653</v>
      </c>
      <c r="D630" s="102" t="s">
        <v>2608</v>
      </c>
      <c r="E630" s="102" t="b">
        <v>0</v>
      </c>
      <c r="F630" s="102" t="b">
        <v>0</v>
      </c>
      <c r="G630" s="102" t="b">
        <v>0</v>
      </c>
    </row>
    <row r="631" spans="1:7" ht="15">
      <c r="A631" s="97" t="s">
        <v>2854</v>
      </c>
      <c r="B631" s="102">
        <v>3</v>
      </c>
      <c r="C631" s="118">
        <v>0.005262445993636653</v>
      </c>
      <c r="D631" s="102" t="s">
        <v>2608</v>
      </c>
      <c r="E631" s="102" t="b">
        <v>0</v>
      </c>
      <c r="F631" s="102" t="b">
        <v>0</v>
      </c>
      <c r="G631" s="102" t="b">
        <v>0</v>
      </c>
    </row>
    <row r="632" spans="1:7" ht="15">
      <c r="A632" s="97" t="s">
        <v>2783</v>
      </c>
      <c r="B632" s="102">
        <v>3</v>
      </c>
      <c r="C632" s="118">
        <v>0.005262445993636653</v>
      </c>
      <c r="D632" s="102" t="s">
        <v>2608</v>
      </c>
      <c r="E632" s="102" t="b">
        <v>0</v>
      </c>
      <c r="F632" s="102" t="b">
        <v>0</v>
      </c>
      <c r="G632" s="102" t="b">
        <v>0</v>
      </c>
    </row>
    <row r="633" spans="1:7" ht="15">
      <c r="A633" s="97" t="s">
        <v>2855</v>
      </c>
      <c r="B633" s="102">
        <v>3</v>
      </c>
      <c r="C633" s="118">
        <v>0.005262445993636653</v>
      </c>
      <c r="D633" s="102" t="s">
        <v>2608</v>
      </c>
      <c r="E633" s="102" t="b">
        <v>0</v>
      </c>
      <c r="F633" s="102" t="b">
        <v>0</v>
      </c>
      <c r="G633" s="102" t="b">
        <v>0</v>
      </c>
    </row>
    <row r="634" spans="1:7" ht="15">
      <c r="A634" s="97" t="s">
        <v>2856</v>
      </c>
      <c r="B634" s="102">
        <v>3</v>
      </c>
      <c r="C634" s="118">
        <v>0.005262445993636653</v>
      </c>
      <c r="D634" s="102" t="s">
        <v>2608</v>
      </c>
      <c r="E634" s="102" t="b">
        <v>0</v>
      </c>
      <c r="F634" s="102" t="b">
        <v>0</v>
      </c>
      <c r="G634" s="102" t="b">
        <v>0</v>
      </c>
    </row>
    <row r="635" spans="1:7" ht="15">
      <c r="A635" s="97" t="s">
        <v>2857</v>
      </c>
      <c r="B635" s="102">
        <v>3</v>
      </c>
      <c r="C635" s="118">
        <v>0.005262445993636653</v>
      </c>
      <c r="D635" s="102" t="s">
        <v>2608</v>
      </c>
      <c r="E635" s="102" t="b">
        <v>0</v>
      </c>
      <c r="F635" s="102" t="b">
        <v>0</v>
      </c>
      <c r="G635" s="102" t="b">
        <v>0</v>
      </c>
    </row>
    <row r="636" spans="1:7" ht="15">
      <c r="A636" s="97" t="s">
        <v>2750</v>
      </c>
      <c r="B636" s="102">
        <v>3</v>
      </c>
      <c r="C636" s="118">
        <v>0.005262445993636653</v>
      </c>
      <c r="D636" s="102" t="s">
        <v>2608</v>
      </c>
      <c r="E636" s="102" t="b">
        <v>0</v>
      </c>
      <c r="F636" s="102" t="b">
        <v>0</v>
      </c>
      <c r="G636" s="102" t="b">
        <v>0</v>
      </c>
    </row>
    <row r="637" spans="1:7" ht="15">
      <c r="A637" s="97" t="s">
        <v>2751</v>
      </c>
      <c r="B637" s="102">
        <v>3</v>
      </c>
      <c r="C637" s="118">
        <v>0.005262445993636653</v>
      </c>
      <c r="D637" s="102" t="s">
        <v>2608</v>
      </c>
      <c r="E637" s="102" t="b">
        <v>0</v>
      </c>
      <c r="F637" s="102" t="b">
        <v>0</v>
      </c>
      <c r="G637" s="102" t="b">
        <v>0</v>
      </c>
    </row>
    <row r="638" spans="1:7" ht="15">
      <c r="A638" s="97" t="s">
        <v>2858</v>
      </c>
      <c r="B638" s="102">
        <v>3</v>
      </c>
      <c r="C638" s="118">
        <v>0.005262445993636653</v>
      </c>
      <c r="D638" s="102" t="s">
        <v>2608</v>
      </c>
      <c r="E638" s="102" t="b">
        <v>0</v>
      </c>
      <c r="F638" s="102" t="b">
        <v>0</v>
      </c>
      <c r="G638" s="102" t="b">
        <v>0</v>
      </c>
    </row>
    <row r="639" spans="1:7" ht="15">
      <c r="A639" s="97" t="s">
        <v>2859</v>
      </c>
      <c r="B639" s="102">
        <v>3</v>
      </c>
      <c r="C639" s="118">
        <v>0.005262445993636653</v>
      </c>
      <c r="D639" s="102" t="s">
        <v>2608</v>
      </c>
      <c r="E639" s="102" t="b">
        <v>0</v>
      </c>
      <c r="F639" s="102" t="b">
        <v>0</v>
      </c>
      <c r="G639" s="102" t="b">
        <v>0</v>
      </c>
    </row>
    <row r="640" spans="1:7" ht="15">
      <c r="A640" s="97" t="s">
        <v>2730</v>
      </c>
      <c r="B640" s="102">
        <v>3</v>
      </c>
      <c r="C640" s="118">
        <v>0.005262445993636653</v>
      </c>
      <c r="D640" s="102" t="s">
        <v>2608</v>
      </c>
      <c r="E640" s="102" t="b">
        <v>0</v>
      </c>
      <c r="F640" s="102" t="b">
        <v>0</v>
      </c>
      <c r="G640" s="102" t="b">
        <v>0</v>
      </c>
    </row>
    <row r="641" spans="1:7" ht="15">
      <c r="A641" s="97" t="s">
        <v>2860</v>
      </c>
      <c r="B641" s="102">
        <v>3</v>
      </c>
      <c r="C641" s="118">
        <v>0.005262445993636653</v>
      </c>
      <c r="D641" s="102" t="s">
        <v>2608</v>
      </c>
      <c r="E641" s="102" t="b">
        <v>0</v>
      </c>
      <c r="F641" s="102" t="b">
        <v>0</v>
      </c>
      <c r="G641" s="102" t="b">
        <v>0</v>
      </c>
    </row>
    <row r="642" spans="1:7" ht="15">
      <c r="A642" s="97" t="s">
        <v>2861</v>
      </c>
      <c r="B642" s="102">
        <v>3</v>
      </c>
      <c r="C642" s="118">
        <v>0.005262445993636653</v>
      </c>
      <c r="D642" s="102" t="s">
        <v>2608</v>
      </c>
      <c r="E642" s="102" t="b">
        <v>0</v>
      </c>
      <c r="F642" s="102" t="b">
        <v>0</v>
      </c>
      <c r="G642" s="102" t="b">
        <v>0</v>
      </c>
    </row>
    <row r="643" spans="1:7" ht="15">
      <c r="A643" s="97" t="s">
        <v>2780</v>
      </c>
      <c r="B643" s="102">
        <v>3</v>
      </c>
      <c r="C643" s="118">
        <v>0.005262445993636653</v>
      </c>
      <c r="D643" s="102" t="s">
        <v>2608</v>
      </c>
      <c r="E643" s="102" t="b">
        <v>0</v>
      </c>
      <c r="F643" s="102" t="b">
        <v>0</v>
      </c>
      <c r="G643" s="102" t="b">
        <v>0</v>
      </c>
    </row>
    <row r="644" spans="1:7" ht="15">
      <c r="A644" s="97" t="s">
        <v>2862</v>
      </c>
      <c r="B644" s="102">
        <v>3</v>
      </c>
      <c r="C644" s="118">
        <v>0.005262445993636653</v>
      </c>
      <c r="D644" s="102" t="s">
        <v>2608</v>
      </c>
      <c r="E644" s="102" t="b">
        <v>0</v>
      </c>
      <c r="F644" s="102" t="b">
        <v>0</v>
      </c>
      <c r="G644" s="102" t="b">
        <v>0</v>
      </c>
    </row>
    <row r="645" spans="1:7" ht="15">
      <c r="A645" s="97" t="s">
        <v>2863</v>
      </c>
      <c r="B645" s="102">
        <v>3</v>
      </c>
      <c r="C645" s="118">
        <v>0.005262445993636653</v>
      </c>
      <c r="D645" s="102" t="s">
        <v>2608</v>
      </c>
      <c r="E645" s="102" t="b">
        <v>0</v>
      </c>
      <c r="F645" s="102" t="b">
        <v>0</v>
      </c>
      <c r="G645" s="102" t="b">
        <v>0</v>
      </c>
    </row>
    <row r="646" spans="1:7" ht="15">
      <c r="A646" s="97" t="s">
        <v>2864</v>
      </c>
      <c r="B646" s="102">
        <v>3</v>
      </c>
      <c r="C646" s="118">
        <v>0.005262445993636653</v>
      </c>
      <c r="D646" s="102" t="s">
        <v>2608</v>
      </c>
      <c r="E646" s="102" t="b">
        <v>0</v>
      </c>
      <c r="F646" s="102" t="b">
        <v>0</v>
      </c>
      <c r="G646" s="102" t="b">
        <v>0</v>
      </c>
    </row>
    <row r="647" spans="1:7" ht="15">
      <c r="A647" s="97" t="s">
        <v>2781</v>
      </c>
      <c r="B647" s="102">
        <v>3</v>
      </c>
      <c r="C647" s="118">
        <v>0.005262445993636653</v>
      </c>
      <c r="D647" s="102" t="s">
        <v>2608</v>
      </c>
      <c r="E647" s="102" t="b">
        <v>0</v>
      </c>
      <c r="F647" s="102" t="b">
        <v>0</v>
      </c>
      <c r="G647" s="102" t="b">
        <v>0</v>
      </c>
    </row>
    <row r="648" spans="1:7" ht="15">
      <c r="A648" s="97" t="s">
        <v>2787</v>
      </c>
      <c r="B648" s="102">
        <v>3</v>
      </c>
      <c r="C648" s="118">
        <v>0.005262445993636653</v>
      </c>
      <c r="D648" s="102" t="s">
        <v>2608</v>
      </c>
      <c r="E648" s="102" t="b">
        <v>0</v>
      </c>
      <c r="F648" s="102" t="b">
        <v>0</v>
      </c>
      <c r="G648" s="102" t="b">
        <v>0</v>
      </c>
    </row>
    <row r="649" spans="1:7" ht="15">
      <c r="A649" s="97" t="s">
        <v>379</v>
      </c>
      <c r="B649" s="102">
        <v>3</v>
      </c>
      <c r="C649" s="118">
        <v>0.005262445993636653</v>
      </c>
      <c r="D649" s="102" t="s">
        <v>2608</v>
      </c>
      <c r="E649" s="102" t="b">
        <v>0</v>
      </c>
      <c r="F649" s="102" t="b">
        <v>0</v>
      </c>
      <c r="G649" s="102" t="b">
        <v>0</v>
      </c>
    </row>
    <row r="650" spans="1:7" ht="15">
      <c r="A650" s="97" t="s">
        <v>2904</v>
      </c>
      <c r="B650" s="102">
        <v>3</v>
      </c>
      <c r="C650" s="118">
        <v>0.005262445993636653</v>
      </c>
      <c r="D650" s="102" t="s">
        <v>2608</v>
      </c>
      <c r="E650" s="102" t="b">
        <v>0</v>
      </c>
      <c r="F650" s="102" t="b">
        <v>0</v>
      </c>
      <c r="G650" s="102" t="b">
        <v>0</v>
      </c>
    </row>
    <row r="651" spans="1:7" ht="15">
      <c r="A651" s="97" t="s">
        <v>2905</v>
      </c>
      <c r="B651" s="102">
        <v>3</v>
      </c>
      <c r="C651" s="118">
        <v>0.005262445993636653</v>
      </c>
      <c r="D651" s="102" t="s">
        <v>2608</v>
      </c>
      <c r="E651" s="102" t="b">
        <v>0</v>
      </c>
      <c r="F651" s="102" t="b">
        <v>0</v>
      </c>
      <c r="G651" s="102" t="b">
        <v>0</v>
      </c>
    </row>
    <row r="652" spans="1:7" ht="15">
      <c r="A652" s="97" t="s">
        <v>2906</v>
      </c>
      <c r="B652" s="102">
        <v>3</v>
      </c>
      <c r="C652" s="118">
        <v>0.005262445993636653</v>
      </c>
      <c r="D652" s="102" t="s">
        <v>2608</v>
      </c>
      <c r="E652" s="102" t="b">
        <v>0</v>
      </c>
      <c r="F652" s="102" t="b">
        <v>0</v>
      </c>
      <c r="G652" s="102" t="b">
        <v>0</v>
      </c>
    </row>
    <row r="653" spans="1:7" ht="15">
      <c r="A653" s="97" t="s">
        <v>2907</v>
      </c>
      <c r="B653" s="102">
        <v>3</v>
      </c>
      <c r="C653" s="118">
        <v>0.005262445993636653</v>
      </c>
      <c r="D653" s="102" t="s">
        <v>2608</v>
      </c>
      <c r="E653" s="102" t="b">
        <v>0</v>
      </c>
      <c r="F653" s="102" t="b">
        <v>0</v>
      </c>
      <c r="G653" s="102" t="b">
        <v>0</v>
      </c>
    </row>
    <row r="654" spans="1:7" ht="15">
      <c r="A654" s="97" t="s">
        <v>2908</v>
      </c>
      <c r="B654" s="102">
        <v>3</v>
      </c>
      <c r="C654" s="118">
        <v>0.005262445993636653</v>
      </c>
      <c r="D654" s="102" t="s">
        <v>2608</v>
      </c>
      <c r="E654" s="102" t="b">
        <v>0</v>
      </c>
      <c r="F654" s="102" t="b">
        <v>0</v>
      </c>
      <c r="G654" s="102" t="b">
        <v>0</v>
      </c>
    </row>
    <row r="655" spans="1:7" ht="15">
      <c r="A655" s="97" t="s">
        <v>2909</v>
      </c>
      <c r="B655" s="102">
        <v>3</v>
      </c>
      <c r="C655" s="118">
        <v>0.005262445993636653</v>
      </c>
      <c r="D655" s="102" t="s">
        <v>2608</v>
      </c>
      <c r="E655" s="102" t="b">
        <v>0</v>
      </c>
      <c r="F655" s="102" t="b">
        <v>0</v>
      </c>
      <c r="G655" s="102" t="b">
        <v>0</v>
      </c>
    </row>
    <row r="656" spans="1:7" ht="15">
      <c r="A656" s="97" t="s">
        <v>2806</v>
      </c>
      <c r="B656" s="102">
        <v>3</v>
      </c>
      <c r="C656" s="118">
        <v>0.005262445993636653</v>
      </c>
      <c r="D656" s="102" t="s">
        <v>2608</v>
      </c>
      <c r="E656" s="102" t="b">
        <v>0</v>
      </c>
      <c r="F656" s="102" t="b">
        <v>0</v>
      </c>
      <c r="G656" s="102" t="b">
        <v>0</v>
      </c>
    </row>
    <row r="657" spans="1:7" ht="15">
      <c r="A657" s="97" t="s">
        <v>2805</v>
      </c>
      <c r="B657" s="102">
        <v>3</v>
      </c>
      <c r="C657" s="118">
        <v>0.005262445993636653</v>
      </c>
      <c r="D657" s="102" t="s">
        <v>2608</v>
      </c>
      <c r="E657" s="102" t="b">
        <v>0</v>
      </c>
      <c r="F657" s="102" t="b">
        <v>0</v>
      </c>
      <c r="G657" s="102" t="b">
        <v>0</v>
      </c>
    </row>
    <row r="658" spans="1:7" ht="15">
      <c r="A658" s="97" t="s">
        <v>2910</v>
      </c>
      <c r="B658" s="102">
        <v>3</v>
      </c>
      <c r="C658" s="118">
        <v>0.005262445993636653</v>
      </c>
      <c r="D658" s="102" t="s">
        <v>2608</v>
      </c>
      <c r="E658" s="102" t="b">
        <v>0</v>
      </c>
      <c r="F658" s="102" t="b">
        <v>0</v>
      </c>
      <c r="G658" s="102" t="b">
        <v>0</v>
      </c>
    </row>
    <row r="659" spans="1:7" ht="15">
      <c r="A659" s="97" t="s">
        <v>2942</v>
      </c>
      <c r="B659" s="102">
        <v>2</v>
      </c>
      <c r="C659" s="118">
        <v>0.004074507165283002</v>
      </c>
      <c r="D659" s="102" t="s">
        <v>2608</v>
      </c>
      <c r="E659" s="102" t="b">
        <v>0</v>
      </c>
      <c r="F659" s="102" t="b">
        <v>0</v>
      </c>
      <c r="G659" s="102" t="b">
        <v>0</v>
      </c>
    </row>
    <row r="660" spans="1:7" ht="15">
      <c r="A660" s="97" t="s">
        <v>2973</v>
      </c>
      <c r="B660" s="102">
        <v>2</v>
      </c>
      <c r="C660" s="118">
        <v>0.004074507165283002</v>
      </c>
      <c r="D660" s="102" t="s">
        <v>2608</v>
      </c>
      <c r="E660" s="102" t="b">
        <v>0</v>
      </c>
      <c r="F660" s="102" t="b">
        <v>0</v>
      </c>
      <c r="G660" s="102" t="b">
        <v>0</v>
      </c>
    </row>
    <row r="661" spans="1:7" ht="15">
      <c r="A661" s="97" t="s">
        <v>2974</v>
      </c>
      <c r="B661" s="102">
        <v>2</v>
      </c>
      <c r="C661" s="118">
        <v>0.004074507165283002</v>
      </c>
      <c r="D661" s="102" t="s">
        <v>2608</v>
      </c>
      <c r="E661" s="102" t="b">
        <v>0</v>
      </c>
      <c r="F661" s="102" t="b">
        <v>0</v>
      </c>
      <c r="G661" s="102" t="b">
        <v>0</v>
      </c>
    </row>
    <row r="662" spans="1:7" ht="15">
      <c r="A662" s="97" t="s">
        <v>2685</v>
      </c>
      <c r="B662" s="102">
        <v>2</v>
      </c>
      <c r="C662" s="118">
        <v>0.004074507165283002</v>
      </c>
      <c r="D662" s="102" t="s">
        <v>2608</v>
      </c>
      <c r="E662" s="102" t="b">
        <v>0</v>
      </c>
      <c r="F662" s="102" t="b">
        <v>0</v>
      </c>
      <c r="G662" s="102" t="b">
        <v>0</v>
      </c>
    </row>
    <row r="663" spans="1:7" ht="15">
      <c r="A663" s="97" t="s">
        <v>2677</v>
      </c>
      <c r="B663" s="102">
        <v>2</v>
      </c>
      <c r="C663" s="118">
        <v>0.004074507165283002</v>
      </c>
      <c r="D663" s="102" t="s">
        <v>2608</v>
      </c>
      <c r="E663" s="102" t="b">
        <v>0</v>
      </c>
      <c r="F663" s="102" t="b">
        <v>0</v>
      </c>
      <c r="G663" s="102" t="b">
        <v>0</v>
      </c>
    </row>
    <row r="664" spans="1:7" ht="15">
      <c r="A664" s="97" t="s">
        <v>2682</v>
      </c>
      <c r="B664" s="102">
        <v>2</v>
      </c>
      <c r="C664" s="118">
        <v>0.004074507165283002</v>
      </c>
      <c r="D664" s="102" t="s">
        <v>2608</v>
      </c>
      <c r="E664" s="102" t="b">
        <v>0</v>
      </c>
      <c r="F664" s="102" t="b">
        <v>0</v>
      </c>
      <c r="G664" s="102" t="b">
        <v>0</v>
      </c>
    </row>
    <row r="665" spans="1:7" ht="15">
      <c r="A665" s="97" t="s">
        <v>2717</v>
      </c>
      <c r="B665" s="102">
        <v>2</v>
      </c>
      <c r="C665" s="118">
        <v>0.004074507165283002</v>
      </c>
      <c r="D665" s="102" t="s">
        <v>2608</v>
      </c>
      <c r="E665" s="102" t="b">
        <v>0</v>
      </c>
      <c r="F665" s="102" t="b">
        <v>0</v>
      </c>
      <c r="G665" s="102" t="b">
        <v>0</v>
      </c>
    </row>
    <row r="666" spans="1:7" ht="15">
      <c r="A666" s="97" t="s">
        <v>3004</v>
      </c>
      <c r="B666" s="102">
        <v>2</v>
      </c>
      <c r="C666" s="118">
        <v>0.004074507165283002</v>
      </c>
      <c r="D666" s="102" t="s">
        <v>2608</v>
      </c>
      <c r="E666" s="102" t="b">
        <v>0</v>
      </c>
      <c r="F666" s="102" t="b">
        <v>0</v>
      </c>
      <c r="G666" s="102" t="b">
        <v>0</v>
      </c>
    </row>
    <row r="667" spans="1:7" ht="15">
      <c r="A667" s="97" t="s">
        <v>2845</v>
      </c>
      <c r="B667" s="102">
        <v>2</v>
      </c>
      <c r="C667" s="118">
        <v>0.004074507165283002</v>
      </c>
      <c r="D667" s="102" t="s">
        <v>2608</v>
      </c>
      <c r="E667" s="102" t="b">
        <v>0</v>
      </c>
      <c r="F667" s="102" t="b">
        <v>0</v>
      </c>
      <c r="G667" s="102" t="b">
        <v>0</v>
      </c>
    </row>
    <row r="668" spans="1:7" ht="15">
      <c r="A668" s="97" t="s">
        <v>292</v>
      </c>
      <c r="B668" s="102">
        <v>2</v>
      </c>
      <c r="C668" s="118">
        <v>0.004074507165283002</v>
      </c>
      <c r="D668" s="102" t="s">
        <v>2608</v>
      </c>
      <c r="E668" s="102" t="b">
        <v>0</v>
      </c>
      <c r="F668" s="102" t="b">
        <v>0</v>
      </c>
      <c r="G668" s="102" t="b">
        <v>0</v>
      </c>
    </row>
    <row r="669" spans="1:7" ht="15">
      <c r="A669" s="97" t="s">
        <v>331</v>
      </c>
      <c r="B669" s="102">
        <v>2</v>
      </c>
      <c r="C669" s="118">
        <v>0.004074507165283002</v>
      </c>
      <c r="D669" s="102" t="s">
        <v>2608</v>
      </c>
      <c r="E669" s="102" t="b">
        <v>0</v>
      </c>
      <c r="F669" s="102" t="b">
        <v>0</v>
      </c>
      <c r="G669" s="102" t="b">
        <v>0</v>
      </c>
    </row>
    <row r="670" spans="1:7" ht="15">
      <c r="A670" s="97" t="s">
        <v>465</v>
      </c>
      <c r="B670" s="102">
        <v>2</v>
      </c>
      <c r="C670" s="118">
        <v>0.004074507165283002</v>
      </c>
      <c r="D670" s="102" t="s">
        <v>2608</v>
      </c>
      <c r="E670" s="102" t="b">
        <v>0</v>
      </c>
      <c r="F670" s="102" t="b">
        <v>0</v>
      </c>
      <c r="G670" s="102" t="b">
        <v>0</v>
      </c>
    </row>
    <row r="671" spans="1:7" ht="15">
      <c r="A671" s="97" t="s">
        <v>2713</v>
      </c>
      <c r="B671" s="102">
        <v>2</v>
      </c>
      <c r="C671" s="118">
        <v>0.004074507165283002</v>
      </c>
      <c r="D671" s="102" t="s">
        <v>2608</v>
      </c>
      <c r="E671" s="102" t="b">
        <v>0</v>
      </c>
      <c r="F671" s="102" t="b">
        <v>0</v>
      </c>
      <c r="G671" s="102" t="b">
        <v>0</v>
      </c>
    </row>
    <row r="672" spans="1:7" ht="15">
      <c r="A672" s="97" t="s">
        <v>460</v>
      </c>
      <c r="B672" s="102">
        <v>2</v>
      </c>
      <c r="C672" s="118">
        <v>0.004074507165283002</v>
      </c>
      <c r="D672" s="102" t="s">
        <v>2608</v>
      </c>
      <c r="E672" s="102" t="b">
        <v>0</v>
      </c>
      <c r="F672" s="102" t="b">
        <v>0</v>
      </c>
      <c r="G672" s="102" t="b">
        <v>0</v>
      </c>
    </row>
    <row r="673" spans="1:7" ht="15">
      <c r="A673" s="97" t="s">
        <v>2898</v>
      </c>
      <c r="B673" s="102">
        <v>2</v>
      </c>
      <c r="C673" s="118">
        <v>0.005042449273527315</v>
      </c>
      <c r="D673" s="102" t="s">
        <v>2608</v>
      </c>
      <c r="E673" s="102" t="b">
        <v>0</v>
      </c>
      <c r="F673" s="102" t="b">
        <v>0</v>
      </c>
      <c r="G673" s="102" t="b">
        <v>0</v>
      </c>
    </row>
    <row r="674" spans="1:7" ht="15">
      <c r="A674" s="97" t="s">
        <v>3023</v>
      </c>
      <c r="B674" s="102">
        <v>2</v>
      </c>
      <c r="C674" s="118">
        <v>0.005042449273527315</v>
      </c>
      <c r="D674" s="102" t="s">
        <v>2608</v>
      </c>
      <c r="E674" s="102" t="b">
        <v>0</v>
      </c>
      <c r="F674" s="102" t="b">
        <v>0</v>
      </c>
      <c r="G674" s="102" t="b">
        <v>0</v>
      </c>
    </row>
    <row r="675" spans="1:7" ht="15">
      <c r="A675" s="97" t="s">
        <v>3024</v>
      </c>
      <c r="B675" s="102">
        <v>2</v>
      </c>
      <c r="C675" s="118">
        <v>0.004074507165283002</v>
      </c>
      <c r="D675" s="102" t="s">
        <v>2608</v>
      </c>
      <c r="E675" s="102" t="b">
        <v>0</v>
      </c>
      <c r="F675" s="102" t="b">
        <v>0</v>
      </c>
      <c r="G675" s="102" t="b">
        <v>0</v>
      </c>
    </row>
    <row r="676" spans="1:7" ht="15">
      <c r="A676" s="97" t="s">
        <v>463</v>
      </c>
      <c r="B676" s="102">
        <v>2</v>
      </c>
      <c r="C676" s="118">
        <v>0.004074507165283002</v>
      </c>
      <c r="D676" s="102" t="s">
        <v>2608</v>
      </c>
      <c r="E676" s="102" t="b">
        <v>0</v>
      </c>
      <c r="F676" s="102" t="b">
        <v>0</v>
      </c>
      <c r="G676" s="102" t="b">
        <v>0</v>
      </c>
    </row>
    <row r="677" spans="1:7" ht="15">
      <c r="A677" s="97" t="s">
        <v>464</v>
      </c>
      <c r="B677" s="102">
        <v>2</v>
      </c>
      <c r="C677" s="118">
        <v>0.004074507165283002</v>
      </c>
      <c r="D677" s="102" t="s">
        <v>2608</v>
      </c>
      <c r="E677" s="102" t="b">
        <v>0</v>
      </c>
      <c r="F677" s="102" t="b">
        <v>0</v>
      </c>
      <c r="G677" s="102" t="b">
        <v>0</v>
      </c>
    </row>
    <row r="678" spans="1:7" ht="15">
      <c r="A678" s="97" t="s">
        <v>462</v>
      </c>
      <c r="B678" s="102">
        <v>2</v>
      </c>
      <c r="C678" s="118">
        <v>0.004074507165283002</v>
      </c>
      <c r="D678" s="102" t="s">
        <v>2608</v>
      </c>
      <c r="E678" s="102" t="b">
        <v>0</v>
      </c>
      <c r="F678" s="102" t="b">
        <v>0</v>
      </c>
      <c r="G678" s="102" t="b">
        <v>0</v>
      </c>
    </row>
    <row r="679" spans="1:7" ht="15">
      <c r="A679" s="97" t="s">
        <v>3027</v>
      </c>
      <c r="B679" s="102">
        <v>2</v>
      </c>
      <c r="C679" s="118">
        <v>0.005042449273527315</v>
      </c>
      <c r="D679" s="102" t="s">
        <v>2608</v>
      </c>
      <c r="E679" s="102" t="b">
        <v>0</v>
      </c>
      <c r="F679" s="102" t="b">
        <v>0</v>
      </c>
      <c r="G679" s="102" t="b">
        <v>0</v>
      </c>
    </row>
    <row r="680" spans="1:7" ht="15">
      <c r="A680" s="97" t="s">
        <v>3026</v>
      </c>
      <c r="B680" s="102">
        <v>2</v>
      </c>
      <c r="C680" s="118">
        <v>0.005042449273527315</v>
      </c>
      <c r="D680" s="102" t="s">
        <v>2608</v>
      </c>
      <c r="E680" s="102" t="b">
        <v>0</v>
      </c>
      <c r="F680" s="102" t="b">
        <v>0</v>
      </c>
      <c r="G680" s="102" t="b">
        <v>0</v>
      </c>
    </row>
    <row r="681" spans="1:7" ht="15">
      <c r="A681" s="97" t="s">
        <v>712</v>
      </c>
      <c r="B681" s="102">
        <v>23</v>
      </c>
      <c r="C681" s="118">
        <v>0.01441187358799138</v>
      </c>
      <c r="D681" s="102" t="s">
        <v>2609</v>
      </c>
      <c r="E681" s="102" t="b">
        <v>0</v>
      </c>
      <c r="F681" s="102" t="b">
        <v>0</v>
      </c>
      <c r="G681" s="102" t="b">
        <v>0</v>
      </c>
    </row>
    <row r="682" spans="1:7" ht="15">
      <c r="A682" s="97" t="s">
        <v>2660</v>
      </c>
      <c r="B682" s="102">
        <v>18</v>
      </c>
      <c r="C682" s="118">
        <v>0.016514365668353757</v>
      </c>
      <c r="D682" s="102" t="s">
        <v>2609</v>
      </c>
      <c r="E682" s="102" t="b">
        <v>0</v>
      </c>
      <c r="F682" s="102" t="b">
        <v>0</v>
      </c>
      <c r="G682" s="102" t="b">
        <v>0</v>
      </c>
    </row>
    <row r="683" spans="1:7" ht="15">
      <c r="A683" s="97" t="s">
        <v>431</v>
      </c>
      <c r="B683" s="102">
        <v>18</v>
      </c>
      <c r="C683" s="118">
        <v>0.016514365668353757</v>
      </c>
      <c r="D683" s="102" t="s">
        <v>2609</v>
      </c>
      <c r="E683" s="102" t="b">
        <v>0</v>
      </c>
      <c r="F683" s="102" t="b">
        <v>0</v>
      </c>
      <c r="G683" s="102" t="b">
        <v>0</v>
      </c>
    </row>
    <row r="684" spans="1:7" ht="15">
      <c r="A684" s="97" t="s">
        <v>430</v>
      </c>
      <c r="B684" s="102">
        <v>18</v>
      </c>
      <c r="C684" s="118">
        <v>0.016514365668353757</v>
      </c>
      <c r="D684" s="102" t="s">
        <v>2609</v>
      </c>
      <c r="E684" s="102" t="b">
        <v>0</v>
      </c>
      <c r="F684" s="102" t="b">
        <v>0</v>
      </c>
      <c r="G684" s="102" t="b">
        <v>0</v>
      </c>
    </row>
    <row r="685" spans="1:7" ht="15">
      <c r="A685" s="97" t="s">
        <v>2662</v>
      </c>
      <c r="B685" s="102">
        <v>16</v>
      </c>
      <c r="C685" s="118">
        <v>0.01691561199434205</v>
      </c>
      <c r="D685" s="102" t="s">
        <v>2609</v>
      </c>
      <c r="E685" s="102" t="b">
        <v>0</v>
      </c>
      <c r="F685" s="102" t="b">
        <v>0</v>
      </c>
      <c r="G685" s="102" t="b">
        <v>0</v>
      </c>
    </row>
    <row r="686" spans="1:7" ht="15">
      <c r="A686" s="97" t="s">
        <v>2675</v>
      </c>
      <c r="B686" s="102">
        <v>15</v>
      </c>
      <c r="C686" s="118">
        <v>0.01700710442503352</v>
      </c>
      <c r="D686" s="102" t="s">
        <v>2609</v>
      </c>
      <c r="E686" s="102" t="b">
        <v>0</v>
      </c>
      <c r="F686" s="102" t="b">
        <v>0</v>
      </c>
      <c r="G686" s="102" t="b">
        <v>0</v>
      </c>
    </row>
    <row r="687" spans="1:7" ht="15">
      <c r="A687" s="97" t="s">
        <v>2678</v>
      </c>
      <c r="B687" s="102">
        <v>15</v>
      </c>
      <c r="C687" s="118">
        <v>0.01700710442503352</v>
      </c>
      <c r="D687" s="102" t="s">
        <v>2609</v>
      </c>
      <c r="E687" s="102" t="b">
        <v>0</v>
      </c>
      <c r="F687" s="102" t="b">
        <v>0</v>
      </c>
      <c r="G687" s="102" t="b">
        <v>0</v>
      </c>
    </row>
    <row r="688" spans="1:7" ht="15">
      <c r="A688" s="97" t="s">
        <v>2676</v>
      </c>
      <c r="B688" s="102">
        <v>15</v>
      </c>
      <c r="C688" s="118">
        <v>0.01700710442503352</v>
      </c>
      <c r="D688" s="102" t="s">
        <v>2609</v>
      </c>
      <c r="E688" s="102" t="b">
        <v>0</v>
      </c>
      <c r="F688" s="102" t="b">
        <v>0</v>
      </c>
      <c r="G688" s="102" t="b">
        <v>0</v>
      </c>
    </row>
    <row r="689" spans="1:7" ht="15">
      <c r="A689" s="97" t="s">
        <v>2679</v>
      </c>
      <c r="B689" s="102">
        <v>15</v>
      </c>
      <c r="C689" s="118">
        <v>0.01700710442503352</v>
      </c>
      <c r="D689" s="102" t="s">
        <v>2609</v>
      </c>
      <c r="E689" s="102" t="b">
        <v>0</v>
      </c>
      <c r="F689" s="102" t="b">
        <v>0</v>
      </c>
      <c r="G689" s="102" t="b">
        <v>0</v>
      </c>
    </row>
    <row r="690" spans="1:7" ht="15">
      <c r="A690" s="97" t="s">
        <v>448</v>
      </c>
      <c r="B690" s="102">
        <v>7</v>
      </c>
      <c r="C690" s="118">
        <v>0.014267120134113926</v>
      </c>
      <c r="D690" s="102" t="s">
        <v>2609</v>
      </c>
      <c r="E690" s="102" t="b">
        <v>0</v>
      </c>
      <c r="F690" s="102" t="b">
        <v>0</v>
      </c>
      <c r="G690" s="102" t="b">
        <v>0</v>
      </c>
    </row>
    <row r="691" spans="1:7" ht="15">
      <c r="A691" s="97" t="s">
        <v>450</v>
      </c>
      <c r="B691" s="102">
        <v>6</v>
      </c>
      <c r="C691" s="118">
        <v>0.01332644846955501</v>
      </c>
      <c r="D691" s="102" t="s">
        <v>2609</v>
      </c>
      <c r="E691" s="102" t="b">
        <v>0</v>
      </c>
      <c r="F691" s="102" t="b">
        <v>0</v>
      </c>
      <c r="G691" s="102" t="b">
        <v>0</v>
      </c>
    </row>
    <row r="692" spans="1:7" ht="15">
      <c r="A692" s="97" t="s">
        <v>2735</v>
      </c>
      <c r="B692" s="102">
        <v>6</v>
      </c>
      <c r="C692" s="118">
        <v>0.01332644846955501</v>
      </c>
      <c r="D692" s="102" t="s">
        <v>2609</v>
      </c>
      <c r="E692" s="102" t="b">
        <v>0</v>
      </c>
      <c r="F692" s="102" t="b">
        <v>1</v>
      </c>
      <c r="G692" s="102" t="b">
        <v>0</v>
      </c>
    </row>
    <row r="693" spans="1:7" ht="15">
      <c r="A693" s="97" t="s">
        <v>2736</v>
      </c>
      <c r="B693" s="102">
        <v>6</v>
      </c>
      <c r="C693" s="118">
        <v>0.01332644846955501</v>
      </c>
      <c r="D693" s="102" t="s">
        <v>2609</v>
      </c>
      <c r="E693" s="102" t="b">
        <v>0</v>
      </c>
      <c r="F693" s="102" t="b">
        <v>0</v>
      </c>
      <c r="G693" s="102" t="b">
        <v>0</v>
      </c>
    </row>
    <row r="694" spans="1:7" ht="15">
      <c r="A694" s="97" t="s">
        <v>2709</v>
      </c>
      <c r="B694" s="102">
        <v>4</v>
      </c>
      <c r="C694" s="118">
        <v>0.014098738921994734</v>
      </c>
      <c r="D694" s="102" t="s">
        <v>2609</v>
      </c>
      <c r="E694" s="102" t="b">
        <v>0</v>
      </c>
      <c r="F694" s="102" t="b">
        <v>0</v>
      </c>
      <c r="G694" s="102" t="b">
        <v>0</v>
      </c>
    </row>
    <row r="695" spans="1:7" ht="15">
      <c r="A695" s="97" t="s">
        <v>2743</v>
      </c>
      <c r="B695" s="102">
        <v>4</v>
      </c>
      <c r="C695" s="118">
        <v>0.014098738921994734</v>
      </c>
      <c r="D695" s="102" t="s">
        <v>2609</v>
      </c>
      <c r="E695" s="102" t="b">
        <v>0</v>
      </c>
      <c r="F695" s="102" t="b">
        <v>0</v>
      </c>
      <c r="G695" s="102" t="b">
        <v>0</v>
      </c>
    </row>
    <row r="696" spans="1:7" ht="15">
      <c r="A696" s="97" t="s">
        <v>2770</v>
      </c>
      <c r="B696" s="102">
        <v>4</v>
      </c>
      <c r="C696" s="118">
        <v>0.01080879361419166</v>
      </c>
      <c r="D696" s="102" t="s">
        <v>2609</v>
      </c>
      <c r="E696" s="102" t="b">
        <v>0</v>
      </c>
      <c r="F696" s="102" t="b">
        <v>0</v>
      </c>
      <c r="G696" s="102" t="b">
        <v>0</v>
      </c>
    </row>
    <row r="697" spans="1:7" ht="15">
      <c r="A697" s="97" t="s">
        <v>2771</v>
      </c>
      <c r="B697" s="102">
        <v>4</v>
      </c>
      <c r="C697" s="118">
        <v>0.01080879361419166</v>
      </c>
      <c r="D697" s="102" t="s">
        <v>2609</v>
      </c>
      <c r="E697" s="102" t="b">
        <v>0</v>
      </c>
      <c r="F697" s="102" t="b">
        <v>0</v>
      </c>
      <c r="G697" s="102" t="b">
        <v>0</v>
      </c>
    </row>
    <row r="698" spans="1:7" ht="15">
      <c r="A698" s="97" t="s">
        <v>2747</v>
      </c>
      <c r="B698" s="102">
        <v>4</v>
      </c>
      <c r="C698" s="118">
        <v>0.01080879361419166</v>
      </c>
      <c r="D698" s="102" t="s">
        <v>2609</v>
      </c>
      <c r="E698" s="102" t="b">
        <v>0</v>
      </c>
      <c r="F698" s="102" t="b">
        <v>0</v>
      </c>
      <c r="G698" s="102" t="b">
        <v>0</v>
      </c>
    </row>
    <row r="699" spans="1:7" ht="15">
      <c r="A699" s="97" t="s">
        <v>2772</v>
      </c>
      <c r="B699" s="102">
        <v>4</v>
      </c>
      <c r="C699" s="118">
        <v>0.01080879361419166</v>
      </c>
      <c r="D699" s="102" t="s">
        <v>2609</v>
      </c>
      <c r="E699" s="102" t="b">
        <v>0</v>
      </c>
      <c r="F699" s="102" t="b">
        <v>0</v>
      </c>
      <c r="G699" s="102" t="b">
        <v>0</v>
      </c>
    </row>
    <row r="700" spans="1:7" ht="15">
      <c r="A700" s="97" t="s">
        <v>2773</v>
      </c>
      <c r="B700" s="102">
        <v>4</v>
      </c>
      <c r="C700" s="118">
        <v>0.01080879361419166</v>
      </c>
      <c r="D700" s="102" t="s">
        <v>2609</v>
      </c>
      <c r="E700" s="102" t="b">
        <v>0</v>
      </c>
      <c r="F700" s="102" t="b">
        <v>0</v>
      </c>
      <c r="G700" s="102" t="b">
        <v>0</v>
      </c>
    </row>
    <row r="701" spans="1:7" ht="15">
      <c r="A701" s="97" t="s">
        <v>2774</v>
      </c>
      <c r="B701" s="102">
        <v>4</v>
      </c>
      <c r="C701" s="118">
        <v>0.01080879361419166</v>
      </c>
      <c r="D701" s="102" t="s">
        <v>2609</v>
      </c>
      <c r="E701" s="102" t="b">
        <v>0</v>
      </c>
      <c r="F701" s="102" t="b">
        <v>0</v>
      </c>
      <c r="G701" s="102" t="b">
        <v>0</v>
      </c>
    </row>
    <row r="702" spans="1:7" ht="15">
      <c r="A702" s="97" t="s">
        <v>2775</v>
      </c>
      <c r="B702" s="102">
        <v>4</v>
      </c>
      <c r="C702" s="118">
        <v>0.01080879361419166</v>
      </c>
      <c r="D702" s="102" t="s">
        <v>2609</v>
      </c>
      <c r="E702" s="102" t="b">
        <v>0</v>
      </c>
      <c r="F702" s="102" t="b">
        <v>0</v>
      </c>
      <c r="G702" s="102" t="b">
        <v>0</v>
      </c>
    </row>
    <row r="703" spans="1:7" ht="15">
      <c r="A703" s="97" t="s">
        <v>449</v>
      </c>
      <c r="B703" s="102">
        <v>4</v>
      </c>
      <c r="C703" s="118">
        <v>0.01080879361419166</v>
      </c>
      <c r="D703" s="102" t="s">
        <v>2609</v>
      </c>
      <c r="E703" s="102" t="b">
        <v>0</v>
      </c>
      <c r="F703" s="102" t="b">
        <v>0</v>
      </c>
      <c r="G703" s="102" t="b">
        <v>0</v>
      </c>
    </row>
    <row r="704" spans="1:7" ht="15">
      <c r="A704" s="97" t="s">
        <v>447</v>
      </c>
      <c r="B704" s="102">
        <v>4</v>
      </c>
      <c r="C704" s="118">
        <v>0.01080879361419166</v>
      </c>
      <c r="D704" s="102" t="s">
        <v>2609</v>
      </c>
      <c r="E704" s="102" t="b">
        <v>0</v>
      </c>
      <c r="F704" s="102" t="b">
        <v>0</v>
      </c>
      <c r="G704" s="102" t="b">
        <v>0</v>
      </c>
    </row>
    <row r="705" spans="1:7" ht="15">
      <c r="A705" s="97" t="s">
        <v>2776</v>
      </c>
      <c r="B705" s="102">
        <v>4</v>
      </c>
      <c r="C705" s="118">
        <v>0.01080879361419166</v>
      </c>
      <c r="D705" s="102" t="s">
        <v>2609</v>
      </c>
      <c r="E705" s="102" t="b">
        <v>0</v>
      </c>
      <c r="F705" s="102" t="b">
        <v>0</v>
      </c>
      <c r="G705" s="102" t="b">
        <v>0</v>
      </c>
    </row>
    <row r="706" spans="1:7" ht="15">
      <c r="A706" s="97" t="s">
        <v>2739</v>
      </c>
      <c r="B706" s="102">
        <v>4</v>
      </c>
      <c r="C706" s="118">
        <v>0.014098738921994734</v>
      </c>
      <c r="D706" s="102" t="s">
        <v>2609</v>
      </c>
      <c r="E706" s="102" t="b">
        <v>0</v>
      </c>
      <c r="F706" s="102" t="b">
        <v>0</v>
      </c>
      <c r="G706" s="102" t="b">
        <v>0</v>
      </c>
    </row>
    <row r="707" spans="1:7" ht="15">
      <c r="A707" s="97" t="s">
        <v>2661</v>
      </c>
      <c r="B707" s="102">
        <v>4</v>
      </c>
      <c r="C707" s="118">
        <v>0.01080879361419166</v>
      </c>
      <c r="D707" s="102" t="s">
        <v>2609</v>
      </c>
      <c r="E707" s="102" t="b">
        <v>0</v>
      </c>
      <c r="F707" s="102" t="b">
        <v>0</v>
      </c>
      <c r="G707" s="102" t="b">
        <v>0</v>
      </c>
    </row>
    <row r="708" spans="1:7" ht="15">
      <c r="A708" s="97" t="s">
        <v>2673</v>
      </c>
      <c r="B708" s="102">
        <v>4</v>
      </c>
      <c r="C708" s="118">
        <v>0.01080879361419166</v>
      </c>
      <c r="D708" s="102" t="s">
        <v>2609</v>
      </c>
      <c r="E708" s="102" t="b">
        <v>0</v>
      </c>
      <c r="F708" s="102" t="b">
        <v>0</v>
      </c>
      <c r="G708" s="102" t="b">
        <v>0</v>
      </c>
    </row>
    <row r="709" spans="1:7" ht="15">
      <c r="A709" s="97" t="s">
        <v>2816</v>
      </c>
      <c r="B709" s="102">
        <v>3</v>
      </c>
      <c r="C709" s="118">
        <v>0.00913068321562981</v>
      </c>
      <c r="D709" s="102" t="s">
        <v>2609</v>
      </c>
      <c r="E709" s="102" t="b">
        <v>0</v>
      </c>
      <c r="F709" s="102" t="b">
        <v>0</v>
      </c>
      <c r="G709" s="102" t="b">
        <v>0</v>
      </c>
    </row>
    <row r="710" spans="1:7" ht="15">
      <c r="A710" s="97" t="s">
        <v>368</v>
      </c>
      <c r="B710" s="102">
        <v>3</v>
      </c>
      <c r="C710" s="118">
        <v>0.00913068321562981</v>
      </c>
      <c r="D710" s="102" t="s">
        <v>2609</v>
      </c>
      <c r="E710" s="102" t="b">
        <v>0</v>
      </c>
      <c r="F710" s="102" t="b">
        <v>0</v>
      </c>
      <c r="G710" s="102" t="b">
        <v>0</v>
      </c>
    </row>
    <row r="711" spans="1:7" ht="15">
      <c r="A711" s="97" t="s">
        <v>385</v>
      </c>
      <c r="B711" s="102">
        <v>3</v>
      </c>
      <c r="C711" s="118">
        <v>0.00913068321562981</v>
      </c>
      <c r="D711" s="102" t="s">
        <v>2609</v>
      </c>
      <c r="E711" s="102" t="b">
        <v>0</v>
      </c>
      <c r="F711" s="102" t="b">
        <v>0</v>
      </c>
      <c r="G711" s="102" t="b">
        <v>0</v>
      </c>
    </row>
    <row r="712" spans="1:7" ht="15">
      <c r="A712" s="97" t="s">
        <v>2683</v>
      </c>
      <c r="B712" s="102">
        <v>3</v>
      </c>
      <c r="C712" s="118">
        <v>0.00913068321562981</v>
      </c>
      <c r="D712" s="102" t="s">
        <v>2609</v>
      </c>
      <c r="E712" s="102" t="b">
        <v>0</v>
      </c>
      <c r="F712" s="102" t="b">
        <v>0</v>
      </c>
      <c r="G712" s="102" t="b">
        <v>0</v>
      </c>
    </row>
    <row r="713" spans="1:7" ht="15">
      <c r="A713" s="97" t="s">
        <v>2835</v>
      </c>
      <c r="B713" s="102">
        <v>3</v>
      </c>
      <c r="C713" s="118">
        <v>0.00913068321562981</v>
      </c>
      <c r="D713" s="102" t="s">
        <v>2609</v>
      </c>
      <c r="E713" s="102" t="b">
        <v>0</v>
      </c>
      <c r="F713" s="102" t="b">
        <v>0</v>
      </c>
      <c r="G713" s="102" t="b">
        <v>0</v>
      </c>
    </row>
    <row r="714" spans="1:7" ht="15">
      <c r="A714" s="97" t="s">
        <v>495</v>
      </c>
      <c r="B714" s="102">
        <v>3</v>
      </c>
      <c r="C714" s="118">
        <v>0.010574054191496051</v>
      </c>
      <c r="D714" s="102" t="s">
        <v>2609</v>
      </c>
      <c r="E714" s="102" t="b">
        <v>0</v>
      </c>
      <c r="F714" s="102" t="b">
        <v>0</v>
      </c>
      <c r="G714" s="102" t="b">
        <v>0</v>
      </c>
    </row>
    <row r="715" spans="1:7" ht="15">
      <c r="A715" s="97" t="s">
        <v>2873</v>
      </c>
      <c r="B715" s="102">
        <v>2</v>
      </c>
      <c r="C715" s="118">
        <v>0.007049369460997367</v>
      </c>
      <c r="D715" s="102" t="s">
        <v>2609</v>
      </c>
      <c r="E715" s="102" t="b">
        <v>0</v>
      </c>
      <c r="F715" s="102" t="b">
        <v>0</v>
      </c>
      <c r="G715" s="102" t="b">
        <v>0</v>
      </c>
    </row>
    <row r="716" spans="1:7" ht="15">
      <c r="A716" s="97" t="s">
        <v>3009</v>
      </c>
      <c r="B716" s="102">
        <v>2</v>
      </c>
      <c r="C716" s="118">
        <v>0.007049369460997367</v>
      </c>
      <c r="D716" s="102" t="s">
        <v>2609</v>
      </c>
      <c r="E716" s="102" t="b">
        <v>0</v>
      </c>
      <c r="F716" s="102" t="b">
        <v>0</v>
      </c>
      <c r="G716" s="102" t="b">
        <v>0</v>
      </c>
    </row>
    <row r="717" spans="1:7" ht="15">
      <c r="A717" s="97" t="s">
        <v>3010</v>
      </c>
      <c r="B717" s="102">
        <v>2</v>
      </c>
      <c r="C717" s="118">
        <v>0.007049369460997367</v>
      </c>
      <c r="D717" s="102" t="s">
        <v>2609</v>
      </c>
      <c r="E717" s="102" t="b">
        <v>0</v>
      </c>
      <c r="F717" s="102" t="b">
        <v>0</v>
      </c>
      <c r="G717" s="102" t="b">
        <v>0</v>
      </c>
    </row>
    <row r="718" spans="1:7" ht="15">
      <c r="A718" s="97" t="s">
        <v>3011</v>
      </c>
      <c r="B718" s="102">
        <v>2</v>
      </c>
      <c r="C718" s="118">
        <v>0.007049369460997367</v>
      </c>
      <c r="D718" s="102" t="s">
        <v>2609</v>
      </c>
      <c r="E718" s="102" t="b">
        <v>0</v>
      </c>
      <c r="F718" s="102" t="b">
        <v>0</v>
      </c>
      <c r="G718" s="102" t="b">
        <v>0</v>
      </c>
    </row>
    <row r="719" spans="1:7" ht="15">
      <c r="A719" s="97" t="s">
        <v>3012</v>
      </c>
      <c r="B719" s="102">
        <v>2</v>
      </c>
      <c r="C719" s="118">
        <v>0.007049369460997367</v>
      </c>
      <c r="D719" s="102" t="s">
        <v>2609</v>
      </c>
      <c r="E719" s="102" t="b">
        <v>0</v>
      </c>
      <c r="F719" s="102" t="b">
        <v>0</v>
      </c>
      <c r="G719" s="102" t="b">
        <v>0</v>
      </c>
    </row>
    <row r="720" spans="1:7" ht="15">
      <c r="A720" s="97" t="s">
        <v>3013</v>
      </c>
      <c r="B720" s="102">
        <v>2</v>
      </c>
      <c r="C720" s="118">
        <v>0.007049369460997367</v>
      </c>
      <c r="D720" s="102" t="s">
        <v>2609</v>
      </c>
      <c r="E720" s="102" t="b">
        <v>0</v>
      </c>
      <c r="F720" s="102" t="b">
        <v>0</v>
      </c>
      <c r="G720" s="102" t="b">
        <v>0</v>
      </c>
    </row>
    <row r="721" spans="1:7" ht="15">
      <c r="A721" s="97" t="s">
        <v>3014</v>
      </c>
      <c r="B721" s="102">
        <v>2</v>
      </c>
      <c r="C721" s="118">
        <v>0.007049369460997367</v>
      </c>
      <c r="D721" s="102" t="s">
        <v>2609</v>
      </c>
      <c r="E721" s="102" t="b">
        <v>0</v>
      </c>
      <c r="F721" s="102" t="b">
        <v>0</v>
      </c>
      <c r="G721" s="102" t="b">
        <v>0</v>
      </c>
    </row>
    <row r="722" spans="1:7" ht="15">
      <c r="A722" s="97" t="s">
        <v>2706</v>
      </c>
      <c r="B722" s="102">
        <v>2</v>
      </c>
      <c r="C722" s="118">
        <v>0.007049369460997367</v>
      </c>
      <c r="D722" s="102" t="s">
        <v>2609</v>
      </c>
      <c r="E722" s="102" t="b">
        <v>0</v>
      </c>
      <c r="F722" s="102" t="b">
        <v>0</v>
      </c>
      <c r="G722" s="102" t="b">
        <v>0</v>
      </c>
    </row>
    <row r="723" spans="1:7" ht="15">
      <c r="A723" s="97" t="s">
        <v>3015</v>
      </c>
      <c r="B723" s="102">
        <v>2</v>
      </c>
      <c r="C723" s="118">
        <v>0.007049369460997367</v>
      </c>
      <c r="D723" s="102" t="s">
        <v>2609</v>
      </c>
      <c r="E723" s="102" t="b">
        <v>0</v>
      </c>
      <c r="F723" s="102" t="b">
        <v>0</v>
      </c>
      <c r="G723" s="102" t="b">
        <v>0</v>
      </c>
    </row>
    <row r="724" spans="1:7" ht="15">
      <c r="A724" s="97" t="s">
        <v>3016</v>
      </c>
      <c r="B724" s="102">
        <v>2</v>
      </c>
      <c r="C724" s="118">
        <v>0.007049369460997367</v>
      </c>
      <c r="D724" s="102" t="s">
        <v>2609</v>
      </c>
      <c r="E724" s="102" t="b">
        <v>0</v>
      </c>
      <c r="F724" s="102" t="b">
        <v>0</v>
      </c>
      <c r="G724" s="102" t="b">
        <v>0</v>
      </c>
    </row>
    <row r="725" spans="1:7" ht="15">
      <c r="A725" s="97" t="s">
        <v>324</v>
      </c>
      <c r="B725" s="102">
        <v>2</v>
      </c>
      <c r="C725" s="118">
        <v>0.007049369460997367</v>
      </c>
      <c r="D725" s="102" t="s">
        <v>2609</v>
      </c>
      <c r="E725" s="102" t="b">
        <v>0</v>
      </c>
      <c r="F725" s="102" t="b">
        <v>0</v>
      </c>
      <c r="G725" s="102" t="b">
        <v>0</v>
      </c>
    </row>
    <row r="726" spans="1:7" ht="15">
      <c r="A726" s="97" t="s">
        <v>2964</v>
      </c>
      <c r="B726" s="102">
        <v>2</v>
      </c>
      <c r="C726" s="118">
        <v>0.007049369460997367</v>
      </c>
      <c r="D726" s="102" t="s">
        <v>2609</v>
      </c>
      <c r="E726" s="102" t="b">
        <v>0</v>
      </c>
      <c r="F726" s="102" t="b">
        <v>0</v>
      </c>
      <c r="G726" s="102" t="b">
        <v>0</v>
      </c>
    </row>
    <row r="727" spans="1:7" ht="15">
      <c r="A727" s="97" t="s">
        <v>2965</v>
      </c>
      <c r="B727" s="102">
        <v>2</v>
      </c>
      <c r="C727" s="118">
        <v>0.007049369460997367</v>
      </c>
      <c r="D727" s="102" t="s">
        <v>2609</v>
      </c>
      <c r="E727" s="102" t="b">
        <v>0</v>
      </c>
      <c r="F727" s="102" t="b">
        <v>0</v>
      </c>
      <c r="G727" s="102" t="b">
        <v>0</v>
      </c>
    </row>
    <row r="728" spans="1:7" ht="15">
      <c r="A728" s="97" t="s">
        <v>2966</v>
      </c>
      <c r="B728" s="102">
        <v>2</v>
      </c>
      <c r="C728" s="118">
        <v>0.007049369460997367</v>
      </c>
      <c r="D728" s="102" t="s">
        <v>2609</v>
      </c>
      <c r="E728" s="102" t="b">
        <v>0</v>
      </c>
      <c r="F728" s="102" t="b">
        <v>0</v>
      </c>
      <c r="G728" s="102" t="b">
        <v>0</v>
      </c>
    </row>
    <row r="729" spans="1:7" ht="15">
      <c r="A729" s="97" t="s">
        <v>2841</v>
      </c>
      <c r="B729" s="102">
        <v>2</v>
      </c>
      <c r="C729" s="118">
        <v>0.007049369460997367</v>
      </c>
      <c r="D729" s="102" t="s">
        <v>2609</v>
      </c>
      <c r="E729" s="102" t="b">
        <v>0</v>
      </c>
      <c r="F729" s="102" t="b">
        <v>0</v>
      </c>
      <c r="G729" s="102" t="b">
        <v>0</v>
      </c>
    </row>
    <row r="730" spans="1:7" ht="15">
      <c r="A730" s="97" t="s">
        <v>494</v>
      </c>
      <c r="B730" s="102">
        <v>2</v>
      </c>
      <c r="C730" s="118">
        <v>0.007049369460997367</v>
      </c>
      <c r="D730" s="102" t="s">
        <v>2609</v>
      </c>
      <c r="E730" s="102" t="b">
        <v>0</v>
      </c>
      <c r="F730" s="102" t="b">
        <v>0</v>
      </c>
      <c r="G730" s="102" t="b">
        <v>0</v>
      </c>
    </row>
    <row r="731" spans="1:7" ht="15">
      <c r="A731" s="97" t="s">
        <v>335</v>
      </c>
      <c r="B731" s="102">
        <v>2</v>
      </c>
      <c r="C731" s="118">
        <v>0.007049369460997367</v>
      </c>
      <c r="D731" s="102" t="s">
        <v>2609</v>
      </c>
      <c r="E731" s="102" t="b">
        <v>0</v>
      </c>
      <c r="F731" s="102" t="b">
        <v>0</v>
      </c>
      <c r="G731" s="102" t="b">
        <v>0</v>
      </c>
    </row>
    <row r="732" spans="1:7" ht="15">
      <c r="A732" s="97" t="s">
        <v>390</v>
      </c>
      <c r="B732" s="102">
        <v>2</v>
      </c>
      <c r="C732" s="118">
        <v>0.007049369460997367</v>
      </c>
      <c r="D732" s="102" t="s">
        <v>2609</v>
      </c>
      <c r="E732" s="102" t="b">
        <v>0</v>
      </c>
      <c r="F732" s="102" t="b">
        <v>0</v>
      </c>
      <c r="G732" s="102" t="b">
        <v>0</v>
      </c>
    </row>
    <row r="733" spans="1:7" ht="15">
      <c r="A733" s="97" t="s">
        <v>2870</v>
      </c>
      <c r="B733" s="102">
        <v>2</v>
      </c>
      <c r="C733" s="118">
        <v>0.007049369460997367</v>
      </c>
      <c r="D733" s="102" t="s">
        <v>2609</v>
      </c>
      <c r="E733" s="102" t="b">
        <v>0</v>
      </c>
      <c r="F733" s="102" t="b">
        <v>0</v>
      </c>
      <c r="G733" s="102" t="b">
        <v>0</v>
      </c>
    </row>
    <row r="734" spans="1:7" ht="15">
      <c r="A734" s="97" t="s">
        <v>2989</v>
      </c>
      <c r="B734" s="102">
        <v>2</v>
      </c>
      <c r="C734" s="118">
        <v>0.007049369460997367</v>
      </c>
      <c r="D734" s="102" t="s">
        <v>2609</v>
      </c>
      <c r="E734" s="102" t="b">
        <v>0</v>
      </c>
      <c r="F734" s="102" t="b">
        <v>0</v>
      </c>
      <c r="G734" s="102" t="b">
        <v>0</v>
      </c>
    </row>
    <row r="735" spans="1:7" ht="15">
      <c r="A735" s="97" t="s">
        <v>2990</v>
      </c>
      <c r="B735" s="102">
        <v>2</v>
      </c>
      <c r="C735" s="118">
        <v>0.007049369460997367</v>
      </c>
      <c r="D735" s="102" t="s">
        <v>2609</v>
      </c>
      <c r="E735" s="102" t="b">
        <v>0</v>
      </c>
      <c r="F735" s="102" t="b">
        <v>0</v>
      </c>
      <c r="G735" s="102" t="b">
        <v>0</v>
      </c>
    </row>
    <row r="736" spans="1:7" ht="15">
      <c r="A736" s="97" t="s">
        <v>2871</v>
      </c>
      <c r="B736" s="102">
        <v>2</v>
      </c>
      <c r="C736" s="118">
        <v>0.007049369460997367</v>
      </c>
      <c r="D736" s="102" t="s">
        <v>2609</v>
      </c>
      <c r="E736" s="102" t="b">
        <v>0</v>
      </c>
      <c r="F736" s="102" t="b">
        <v>0</v>
      </c>
      <c r="G736" s="102" t="b">
        <v>0</v>
      </c>
    </row>
    <row r="737" spans="1:7" ht="15">
      <c r="A737" s="97" t="s">
        <v>2991</v>
      </c>
      <c r="B737" s="102">
        <v>2</v>
      </c>
      <c r="C737" s="118">
        <v>0.007049369460997367</v>
      </c>
      <c r="D737" s="102" t="s">
        <v>2609</v>
      </c>
      <c r="E737" s="102" t="b">
        <v>0</v>
      </c>
      <c r="F737" s="102" t="b">
        <v>0</v>
      </c>
      <c r="G737" s="102" t="b">
        <v>0</v>
      </c>
    </row>
    <row r="738" spans="1:7" ht="15">
      <c r="A738" s="97" t="s">
        <v>2730</v>
      </c>
      <c r="B738" s="102">
        <v>2</v>
      </c>
      <c r="C738" s="118">
        <v>0.007049369460997367</v>
      </c>
      <c r="D738" s="102" t="s">
        <v>2609</v>
      </c>
      <c r="E738" s="102" t="b">
        <v>0</v>
      </c>
      <c r="F738" s="102" t="b">
        <v>0</v>
      </c>
      <c r="G738" s="102" t="b">
        <v>0</v>
      </c>
    </row>
    <row r="739" spans="1:7" ht="15">
      <c r="A739" s="97" t="s">
        <v>2992</v>
      </c>
      <c r="B739" s="102">
        <v>2</v>
      </c>
      <c r="C739" s="118">
        <v>0.007049369460997367</v>
      </c>
      <c r="D739" s="102" t="s">
        <v>2609</v>
      </c>
      <c r="E739" s="102" t="b">
        <v>0</v>
      </c>
      <c r="F739" s="102" t="b">
        <v>0</v>
      </c>
      <c r="G739" s="102" t="b">
        <v>0</v>
      </c>
    </row>
    <row r="740" spans="1:7" ht="15">
      <c r="A740" s="97" t="s">
        <v>2993</v>
      </c>
      <c r="B740" s="102">
        <v>2</v>
      </c>
      <c r="C740" s="118">
        <v>0.007049369460997367</v>
      </c>
      <c r="D740" s="102" t="s">
        <v>2609</v>
      </c>
      <c r="E740" s="102" t="b">
        <v>0</v>
      </c>
      <c r="F740" s="102" t="b">
        <v>0</v>
      </c>
      <c r="G740" s="102" t="b">
        <v>0</v>
      </c>
    </row>
    <row r="741" spans="1:7" ht="15">
      <c r="A741" s="97" t="s">
        <v>2872</v>
      </c>
      <c r="B741" s="102">
        <v>2</v>
      </c>
      <c r="C741" s="118">
        <v>0.007049369460997367</v>
      </c>
      <c r="D741" s="102" t="s">
        <v>2609</v>
      </c>
      <c r="E741" s="102" t="b">
        <v>0</v>
      </c>
      <c r="F741" s="102" t="b">
        <v>0</v>
      </c>
      <c r="G741" s="102" t="b">
        <v>0</v>
      </c>
    </row>
    <row r="742" spans="1:7" ht="15">
      <c r="A742" s="97" t="s">
        <v>2682</v>
      </c>
      <c r="B742" s="102">
        <v>2</v>
      </c>
      <c r="C742" s="118">
        <v>0.007049369460997367</v>
      </c>
      <c r="D742" s="102" t="s">
        <v>2609</v>
      </c>
      <c r="E742" s="102" t="b">
        <v>0</v>
      </c>
      <c r="F742" s="102" t="b">
        <v>0</v>
      </c>
      <c r="G742" s="102" t="b">
        <v>0</v>
      </c>
    </row>
    <row r="743" spans="1:7" ht="15">
      <c r="A743" s="97" t="s">
        <v>2717</v>
      </c>
      <c r="B743" s="102">
        <v>2</v>
      </c>
      <c r="C743" s="118">
        <v>0.007049369460997367</v>
      </c>
      <c r="D743" s="102" t="s">
        <v>2609</v>
      </c>
      <c r="E743" s="102" t="b">
        <v>0</v>
      </c>
      <c r="F743" s="102" t="b">
        <v>0</v>
      </c>
      <c r="G743" s="102" t="b">
        <v>0</v>
      </c>
    </row>
    <row r="744" spans="1:7" ht="15">
      <c r="A744" s="97" t="s">
        <v>2994</v>
      </c>
      <c r="B744" s="102">
        <v>2</v>
      </c>
      <c r="C744" s="118">
        <v>0.007049369460997367</v>
      </c>
      <c r="D744" s="102" t="s">
        <v>2609</v>
      </c>
      <c r="E744" s="102" t="b">
        <v>0</v>
      </c>
      <c r="F744" s="102" t="b">
        <v>0</v>
      </c>
      <c r="G744" s="102" t="b">
        <v>0</v>
      </c>
    </row>
    <row r="745" spans="1:7" ht="15">
      <c r="A745" s="97" t="s">
        <v>2995</v>
      </c>
      <c r="B745" s="102">
        <v>2</v>
      </c>
      <c r="C745" s="118">
        <v>0.007049369460997367</v>
      </c>
      <c r="D745" s="102" t="s">
        <v>2609</v>
      </c>
      <c r="E745" s="102" t="b">
        <v>0</v>
      </c>
      <c r="F745" s="102" t="b">
        <v>0</v>
      </c>
      <c r="G745" s="102" t="b">
        <v>0</v>
      </c>
    </row>
    <row r="746" spans="1:7" ht="15">
      <c r="A746" s="97" t="s">
        <v>2996</v>
      </c>
      <c r="B746" s="102">
        <v>2</v>
      </c>
      <c r="C746" s="118">
        <v>0.007049369460997367</v>
      </c>
      <c r="D746" s="102" t="s">
        <v>2609</v>
      </c>
      <c r="E746" s="102" t="b">
        <v>0</v>
      </c>
      <c r="F746" s="102" t="b">
        <v>0</v>
      </c>
      <c r="G746" s="102" t="b">
        <v>0</v>
      </c>
    </row>
    <row r="747" spans="1:7" ht="15">
      <c r="A747" s="97" t="s">
        <v>2997</v>
      </c>
      <c r="B747" s="102">
        <v>2</v>
      </c>
      <c r="C747" s="118">
        <v>0.007049369460997367</v>
      </c>
      <c r="D747" s="102" t="s">
        <v>2609</v>
      </c>
      <c r="E747" s="102" t="b">
        <v>0</v>
      </c>
      <c r="F747" s="102" t="b">
        <v>0</v>
      </c>
      <c r="G747" s="102" t="b">
        <v>0</v>
      </c>
    </row>
    <row r="748" spans="1:7" ht="15">
      <c r="A748" s="97" t="s">
        <v>2742</v>
      </c>
      <c r="B748" s="102">
        <v>2</v>
      </c>
      <c r="C748" s="118">
        <v>0.007049369460997367</v>
      </c>
      <c r="D748" s="102" t="s">
        <v>2609</v>
      </c>
      <c r="E748" s="102" t="b">
        <v>0</v>
      </c>
      <c r="F748" s="102" t="b">
        <v>0</v>
      </c>
      <c r="G748" s="102" t="b">
        <v>0</v>
      </c>
    </row>
    <row r="749" spans="1:7" ht="15">
      <c r="A749" s="97" t="s">
        <v>2998</v>
      </c>
      <c r="B749" s="102">
        <v>2</v>
      </c>
      <c r="C749" s="118">
        <v>0.007049369460997367</v>
      </c>
      <c r="D749" s="102" t="s">
        <v>2609</v>
      </c>
      <c r="E749" s="102" t="b">
        <v>0</v>
      </c>
      <c r="F749" s="102" t="b">
        <v>0</v>
      </c>
      <c r="G749" s="102" t="b">
        <v>0</v>
      </c>
    </row>
    <row r="750" spans="1:7" ht="15">
      <c r="A750" s="97" t="s">
        <v>712</v>
      </c>
      <c r="B750" s="102">
        <v>21</v>
      </c>
      <c r="C750" s="118">
        <v>0</v>
      </c>
      <c r="D750" s="102" t="s">
        <v>2610</v>
      </c>
      <c r="E750" s="102" t="b">
        <v>0</v>
      </c>
      <c r="F750" s="102" t="b">
        <v>0</v>
      </c>
      <c r="G750" s="102" t="b">
        <v>0</v>
      </c>
    </row>
    <row r="751" spans="1:7" ht="15">
      <c r="A751" s="97" t="s">
        <v>2704</v>
      </c>
      <c r="B751" s="102">
        <v>12</v>
      </c>
      <c r="C751" s="118">
        <v>0.010801691052724199</v>
      </c>
      <c r="D751" s="102" t="s">
        <v>2610</v>
      </c>
      <c r="E751" s="102" t="b">
        <v>0</v>
      </c>
      <c r="F751" s="102" t="b">
        <v>0</v>
      </c>
      <c r="G751" s="102" t="b">
        <v>0</v>
      </c>
    </row>
    <row r="752" spans="1:7" ht="15">
      <c r="A752" s="97" t="s">
        <v>2661</v>
      </c>
      <c r="B752" s="102">
        <v>11</v>
      </c>
      <c r="C752" s="118">
        <v>0.013127452748418936</v>
      </c>
      <c r="D752" s="102" t="s">
        <v>2610</v>
      </c>
      <c r="E752" s="102" t="b">
        <v>0</v>
      </c>
      <c r="F752" s="102" t="b">
        <v>0</v>
      </c>
      <c r="G752" s="102" t="b">
        <v>0</v>
      </c>
    </row>
    <row r="753" spans="1:7" ht="15">
      <c r="A753" s="97" t="s">
        <v>2705</v>
      </c>
      <c r="B753" s="102">
        <v>9</v>
      </c>
      <c r="C753" s="118">
        <v>0.013970976924732523</v>
      </c>
      <c r="D753" s="102" t="s">
        <v>2610</v>
      </c>
      <c r="E753" s="102" t="b">
        <v>0</v>
      </c>
      <c r="F753" s="102" t="b">
        <v>0</v>
      </c>
      <c r="G753" s="102" t="b">
        <v>0</v>
      </c>
    </row>
    <row r="754" spans="1:7" ht="15">
      <c r="A754" s="97" t="s">
        <v>2712</v>
      </c>
      <c r="B754" s="102">
        <v>7</v>
      </c>
      <c r="C754" s="118">
        <v>0.012369810307546804</v>
      </c>
      <c r="D754" s="102" t="s">
        <v>2610</v>
      </c>
      <c r="E754" s="102" t="b">
        <v>0</v>
      </c>
      <c r="F754" s="102" t="b">
        <v>0</v>
      </c>
      <c r="G754" s="102" t="b">
        <v>0</v>
      </c>
    </row>
    <row r="755" spans="1:7" ht="15">
      <c r="A755" s="97" t="s">
        <v>2726</v>
      </c>
      <c r="B755" s="102">
        <v>7</v>
      </c>
      <c r="C755" s="118">
        <v>0.012369810307546804</v>
      </c>
      <c r="D755" s="102" t="s">
        <v>2610</v>
      </c>
      <c r="E755" s="102" t="b">
        <v>0</v>
      </c>
      <c r="F755" s="102" t="b">
        <v>0</v>
      </c>
      <c r="G755" s="102" t="b">
        <v>0</v>
      </c>
    </row>
    <row r="756" spans="1:7" ht="15">
      <c r="A756" s="97" t="s">
        <v>2715</v>
      </c>
      <c r="B756" s="102">
        <v>7</v>
      </c>
      <c r="C756" s="118">
        <v>0.012369810307546804</v>
      </c>
      <c r="D756" s="102" t="s">
        <v>2610</v>
      </c>
      <c r="E756" s="102" t="b">
        <v>0</v>
      </c>
      <c r="F756" s="102" t="b">
        <v>0</v>
      </c>
      <c r="G756" s="102" t="b">
        <v>0</v>
      </c>
    </row>
    <row r="757" spans="1:7" ht="15">
      <c r="A757" s="97" t="s">
        <v>2727</v>
      </c>
      <c r="B757" s="102">
        <v>7</v>
      </c>
      <c r="C757" s="118">
        <v>0.012369810307546804</v>
      </c>
      <c r="D757" s="102" t="s">
        <v>2610</v>
      </c>
      <c r="E757" s="102" t="b">
        <v>0</v>
      </c>
      <c r="F757" s="102" t="b">
        <v>0</v>
      </c>
      <c r="G757" s="102" t="b">
        <v>0</v>
      </c>
    </row>
    <row r="758" spans="1:7" ht="15">
      <c r="A758" s="97" t="s">
        <v>2728</v>
      </c>
      <c r="B758" s="102">
        <v>7</v>
      </c>
      <c r="C758" s="118">
        <v>0.012369810307546804</v>
      </c>
      <c r="D758" s="102" t="s">
        <v>2610</v>
      </c>
      <c r="E758" s="102" t="b">
        <v>0</v>
      </c>
      <c r="F758" s="102" t="b">
        <v>0</v>
      </c>
      <c r="G758" s="102" t="b">
        <v>0</v>
      </c>
    </row>
    <row r="759" spans="1:7" ht="15">
      <c r="A759" s="97" t="s">
        <v>2663</v>
      </c>
      <c r="B759" s="102">
        <v>7</v>
      </c>
      <c r="C759" s="118">
        <v>0.012369810307546804</v>
      </c>
      <c r="D759" s="102" t="s">
        <v>2610</v>
      </c>
      <c r="E759" s="102" t="b">
        <v>0</v>
      </c>
      <c r="F759" s="102" t="b">
        <v>0</v>
      </c>
      <c r="G759" s="102" t="b">
        <v>0</v>
      </c>
    </row>
    <row r="760" spans="1:7" ht="15">
      <c r="A760" s="97" t="s">
        <v>2660</v>
      </c>
      <c r="B760" s="102">
        <v>6</v>
      </c>
      <c r="C760" s="118">
        <v>0.012090400985561682</v>
      </c>
      <c r="D760" s="102" t="s">
        <v>2610</v>
      </c>
      <c r="E760" s="102" t="b">
        <v>0</v>
      </c>
      <c r="F760" s="102" t="b">
        <v>0</v>
      </c>
      <c r="G760" s="102" t="b">
        <v>0</v>
      </c>
    </row>
    <row r="761" spans="1:7" ht="15">
      <c r="A761" s="97" t="s">
        <v>2674</v>
      </c>
      <c r="B761" s="102">
        <v>6</v>
      </c>
      <c r="C761" s="118">
        <v>0.012090400985561682</v>
      </c>
      <c r="D761" s="102" t="s">
        <v>2610</v>
      </c>
      <c r="E761" s="102" t="b">
        <v>0</v>
      </c>
      <c r="F761" s="102" t="b">
        <v>0</v>
      </c>
      <c r="G761" s="102" t="b">
        <v>0</v>
      </c>
    </row>
    <row r="762" spans="1:7" ht="15">
      <c r="A762" s="97" t="s">
        <v>2685</v>
      </c>
      <c r="B762" s="102">
        <v>6</v>
      </c>
      <c r="C762" s="118">
        <v>0.012090400985561682</v>
      </c>
      <c r="D762" s="102" t="s">
        <v>2610</v>
      </c>
      <c r="E762" s="102" t="b">
        <v>0</v>
      </c>
      <c r="F762" s="102" t="b">
        <v>0</v>
      </c>
      <c r="G762" s="102" t="b">
        <v>0</v>
      </c>
    </row>
    <row r="763" spans="1:7" ht="15">
      <c r="A763" s="97" t="s">
        <v>2760</v>
      </c>
      <c r="B763" s="102">
        <v>5</v>
      </c>
      <c r="C763" s="118">
        <v>0.011541653525887045</v>
      </c>
      <c r="D763" s="102" t="s">
        <v>2610</v>
      </c>
      <c r="E763" s="102" t="b">
        <v>0</v>
      </c>
      <c r="F763" s="102" t="b">
        <v>0</v>
      </c>
      <c r="G763" s="102" t="b">
        <v>0</v>
      </c>
    </row>
    <row r="764" spans="1:7" ht="15">
      <c r="A764" s="97" t="s">
        <v>2761</v>
      </c>
      <c r="B764" s="102">
        <v>5</v>
      </c>
      <c r="C764" s="118">
        <v>0.011541653525887045</v>
      </c>
      <c r="D764" s="102" t="s">
        <v>2610</v>
      </c>
      <c r="E764" s="102" t="b">
        <v>0</v>
      </c>
      <c r="F764" s="102" t="b">
        <v>0</v>
      </c>
      <c r="G764" s="102" t="b">
        <v>0</v>
      </c>
    </row>
    <row r="765" spans="1:7" ht="15">
      <c r="A765" s="97" t="s">
        <v>2762</v>
      </c>
      <c r="B765" s="102">
        <v>5</v>
      </c>
      <c r="C765" s="118">
        <v>0.011541653525887045</v>
      </c>
      <c r="D765" s="102" t="s">
        <v>2610</v>
      </c>
      <c r="E765" s="102" t="b">
        <v>0</v>
      </c>
      <c r="F765" s="102" t="b">
        <v>0</v>
      </c>
      <c r="G765" s="102" t="b">
        <v>0</v>
      </c>
    </row>
    <row r="766" spans="1:7" ht="15">
      <c r="A766" s="97" t="s">
        <v>429</v>
      </c>
      <c r="B766" s="102">
        <v>3</v>
      </c>
      <c r="C766" s="118">
        <v>0.009389978222380631</v>
      </c>
      <c r="D766" s="102" t="s">
        <v>2610</v>
      </c>
      <c r="E766" s="102" t="b">
        <v>0</v>
      </c>
      <c r="F766" s="102" t="b">
        <v>0</v>
      </c>
      <c r="G766" s="102" t="b">
        <v>0</v>
      </c>
    </row>
    <row r="767" spans="1:7" ht="15">
      <c r="A767" s="97" t="s">
        <v>457</v>
      </c>
      <c r="B767" s="102">
        <v>3</v>
      </c>
      <c r="C767" s="118">
        <v>0.009389978222380631</v>
      </c>
      <c r="D767" s="102" t="s">
        <v>2610</v>
      </c>
      <c r="E767" s="102" t="b">
        <v>0</v>
      </c>
      <c r="F767" s="102" t="b">
        <v>0</v>
      </c>
      <c r="G767" s="102" t="b">
        <v>0</v>
      </c>
    </row>
    <row r="768" spans="1:7" ht="15">
      <c r="A768" s="97" t="s">
        <v>454</v>
      </c>
      <c r="B768" s="102">
        <v>3</v>
      </c>
      <c r="C768" s="118">
        <v>0.009389978222380631</v>
      </c>
      <c r="D768" s="102" t="s">
        <v>2610</v>
      </c>
      <c r="E768" s="102" t="b">
        <v>0</v>
      </c>
      <c r="F768" s="102" t="b">
        <v>0</v>
      </c>
      <c r="G768" s="102" t="b">
        <v>0</v>
      </c>
    </row>
    <row r="769" spans="1:7" ht="15">
      <c r="A769" s="97" t="s">
        <v>2902</v>
      </c>
      <c r="B769" s="102">
        <v>3</v>
      </c>
      <c r="C769" s="118">
        <v>0.009389978222380631</v>
      </c>
      <c r="D769" s="102" t="s">
        <v>2610</v>
      </c>
      <c r="E769" s="102" t="b">
        <v>0</v>
      </c>
      <c r="F769" s="102" t="b">
        <v>0</v>
      </c>
      <c r="G769" s="102" t="b">
        <v>0</v>
      </c>
    </row>
    <row r="770" spans="1:7" ht="15">
      <c r="A770" s="97" t="s">
        <v>451</v>
      </c>
      <c r="B770" s="102">
        <v>2</v>
      </c>
      <c r="C770" s="118">
        <v>0.007564365178295837</v>
      </c>
      <c r="D770" s="102" t="s">
        <v>2610</v>
      </c>
      <c r="E770" s="102" t="b">
        <v>0</v>
      </c>
      <c r="F770" s="102" t="b">
        <v>0</v>
      </c>
      <c r="G770" s="102" t="b">
        <v>0</v>
      </c>
    </row>
    <row r="771" spans="1:7" ht="15">
      <c r="A771" s="97" t="s">
        <v>289</v>
      </c>
      <c r="B771" s="102">
        <v>2</v>
      </c>
      <c r="C771" s="118">
        <v>0.007564365178295837</v>
      </c>
      <c r="D771" s="102" t="s">
        <v>2610</v>
      </c>
      <c r="E771" s="102" t="b">
        <v>0</v>
      </c>
      <c r="F771" s="102" t="b">
        <v>0</v>
      </c>
      <c r="G771" s="102" t="b">
        <v>0</v>
      </c>
    </row>
    <row r="772" spans="1:7" ht="15">
      <c r="A772" s="97" t="s">
        <v>446</v>
      </c>
      <c r="B772" s="102">
        <v>2</v>
      </c>
      <c r="C772" s="118">
        <v>0.007564365178295837</v>
      </c>
      <c r="D772" s="102" t="s">
        <v>2610</v>
      </c>
      <c r="E772" s="102" t="b">
        <v>0</v>
      </c>
      <c r="F772" s="102" t="b">
        <v>0</v>
      </c>
      <c r="G772" s="102" t="b">
        <v>0</v>
      </c>
    </row>
    <row r="773" spans="1:7" ht="15">
      <c r="A773" s="97" t="s">
        <v>445</v>
      </c>
      <c r="B773" s="102">
        <v>2</v>
      </c>
      <c r="C773" s="118">
        <v>0.007564365178295837</v>
      </c>
      <c r="D773" s="102" t="s">
        <v>2610</v>
      </c>
      <c r="E773" s="102" t="b">
        <v>0</v>
      </c>
      <c r="F773" s="102" t="b">
        <v>0</v>
      </c>
      <c r="G773" s="102" t="b">
        <v>0</v>
      </c>
    </row>
    <row r="774" spans="1:7" ht="15">
      <c r="A774" s="97" t="s">
        <v>444</v>
      </c>
      <c r="B774" s="102">
        <v>2</v>
      </c>
      <c r="C774" s="118">
        <v>0.007564365178295837</v>
      </c>
      <c r="D774" s="102" t="s">
        <v>2610</v>
      </c>
      <c r="E774" s="102" t="b">
        <v>0</v>
      </c>
      <c r="F774" s="102" t="b">
        <v>0</v>
      </c>
      <c r="G774" s="102" t="b">
        <v>0</v>
      </c>
    </row>
    <row r="775" spans="1:7" ht="15">
      <c r="A775" s="97" t="s">
        <v>443</v>
      </c>
      <c r="B775" s="102">
        <v>2</v>
      </c>
      <c r="C775" s="118">
        <v>0.007564365178295837</v>
      </c>
      <c r="D775" s="102" t="s">
        <v>2610</v>
      </c>
      <c r="E775" s="102" t="b">
        <v>0</v>
      </c>
      <c r="F775" s="102" t="b">
        <v>0</v>
      </c>
      <c r="G775" s="102" t="b">
        <v>0</v>
      </c>
    </row>
    <row r="776" spans="1:7" ht="15">
      <c r="A776" s="97" t="s">
        <v>442</v>
      </c>
      <c r="B776" s="102">
        <v>2</v>
      </c>
      <c r="C776" s="118">
        <v>0.007564365178295837</v>
      </c>
      <c r="D776" s="102" t="s">
        <v>2610</v>
      </c>
      <c r="E776" s="102" t="b">
        <v>0</v>
      </c>
      <c r="F776" s="102" t="b">
        <v>0</v>
      </c>
      <c r="G776" s="102" t="b">
        <v>0</v>
      </c>
    </row>
    <row r="777" spans="1:7" ht="15">
      <c r="A777" s="97" t="s">
        <v>441</v>
      </c>
      <c r="B777" s="102">
        <v>2</v>
      </c>
      <c r="C777" s="118">
        <v>0.007564365178295837</v>
      </c>
      <c r="D777" s="102" t="s">
        <v>2610</v>
      </c>
      <c r="E777" s="102" t="b">
        <v>0</v>
      </c>
      <c r="F777" s="102" t="b">
        <v>0</v>
      </c>
      <c r="G777" s="102" t="b">
        <v>0</v>
      </c>
    </row>
    <row r="778" spans="1:7" ht="15">
      <c r="A778" s="97" t="s">
        <v>440</v>
      </c>
      <c r="B778" s="102">
        <v>2</v>
      </c>
      <c r="C778" s="118">
        <v>0.007564365178295837</v>
      </c>
      <c r="D778" s="102" t="s">
        <v>2610</v>
      </c>
      <c r="E778" s="102" t="b">
        <v>0</v>
      </c>
      <c r="F778" s="102" t="b">
        <v>0</v>
      </c>
      <c r="G778" s="102" t="b">
        <v>0</v>
      </c>
    </row>
    <row r="779" spans="1:7" ht="15">
      <c r="A779" s="97" t="s">
        <v>439</v>
      </c>
      <c r="B779" s="102">
        <v>2</v>
      </c>
      <c r="C779" s="118">
        <v>0.007564365178295837</v>
      </c>
      <c r="D779" s="102" t="s">
        <v>2610</v>
      </c>
      <c r="E779" s="102" t="b">
        <v>0</v>
      </c>
      <c r="F779" s="102" t="b">
        <v>0</v>
      </c>
      <c r="G779" s="102" t="b">
        <v>0</v>
      </c>
    </row>
    <row r="780" spans="1:7" ht="15">
      <c r="A780" s="97" t="s">
        <v>438</v>
      </c>
      <c r="B780" s="102">
        <v>2</v>
      </c>
      <c r="C780" s="118">
        <v>0.007564365178295837</v>
      </c>
      <c r="D780" s="102" t="s">
        <v>2610</v>
      </c>
      <c r="E780" s="102" t="b">
        <v>0</v>
      </c>
      <c r="F780" s="102" t="b">
        <v>0</v>
      </c>
      <c r="G780" s="102" t="b">
        <v>0</v>
      </c>
    </row>
    <row r="781" spans="1:7" ht="15">
      <c r="A781" s="97" t="s">
        <v>2718</v>
      </c>
      <c r="B781" s="102">
        <v>2</v>
      </c>
      <c r="C781" s="118">
        <v>0.007564365178295837</v>
      </c>
      <c r="D781" s="102" t="s">
        <v>2610</v>
      </c>
      <c r="E781" s="102" t="b">
        <v>0</v>
      </c>
      <c r="F781" s="102" t="b">
        <v>0</v>
      </c>
      <c r="G781" s="102" t="b">
        <v>0</v>
      </c>
    </row>
    <row r="782" spans="1:7" ht="15">
      <c r="A782" s="97" t="s">
        <v>2742</v>
      </c>
      <c r="B782" s="102">
        <v>2</v>
      </c>
      <c r="C782" s="118">
        <v>0.007564365178295837</v>
      </c>
      <c r="D782" s="102" t="s">
        <v>2610</v>
      </c>
      <c r="E782" s="102" t="b">
        <v>0</v>
      </c>
      <c r="F782" s="102" t="b">
        <v>0</v>
      </c>
      <c r="G782" s="102" t="b">
        <v>0</v>
      </c>
    </row>
    <row r="783" spans="1:7" ht="15">
      <c r="A783" s="97" t="s">
        <v>3045</v>
      </c>
      <c r="B783" s="102">
        <v>2</v>
      </c>
      <c r="C783" s="118">
        <v>0.007564365178295837</v>
      </c>
      <c r="D783" s="102" t="s">
        <v>2610</v>
      </c>
      <c r="E783" s="102" t="b">
        <v>0</v>
      </c>
      <c r="F783" s="102" t="b">
        <v>0</v>
      </c>
      <c r="G783" s="102" t="b">
        <v>0</v>
      </c>
    </row>
    <row r="784" spans="1:7" ht="15">
      <c r="A784" s="97" t="s">
        <v>712</v>
      </c>
      <c r="B784" s="102">
        <v>30</v>
      </c>
      <c r="C784" s="118">
        <v>0.0007168006265743432</v>
      </c>
      <c r="D784" s="102" t="s">
        <v>2611</v>
      </c>
      <c r="E784" s="102" t="b">
        <v>0</v>
      </c>
      <c r="F784" s="102" t="b">
        <v>0</v>
      </c>
      <c r="G784" s="102" t="b">
        <v>0</v>
      </c>
    </row>
    <row r="785" spans="1:7" ht="15">
      <c r="A785" s="97" t="s">
        <v>2677</v>
      </c>
      <c r="B785" s="102">
        <v>16</v>
      </c>
      <c r="C785" s="118">
        <v>0.007711186877271085</v>
      </c>
      <c r="D785" s="102" t="s">
        <v>2611</v>
      </c>
      <c r="E785" s="102" t="b">
        <v>0</v>
      </c>
      <c r="F785" s="102" t="b">
        <v>0</v>
      </c>
      <c r="G785" s="102" t="b">
        <v>0</v>
      </c>
    </row>
    <row r="786" spans="1:7" ht="15">
      <c r="A786" s="97" t="s">
        <v>2680</v>
      </c>
      <c r="B786" s="102">
        <v>15</v>
      </c>
      <c r="C786" s="118">
        <v>0.007934658593420926</v>
      </c>
      <c r="D786" s="102" t="s">
        <v>2611</v>
      </c>
      <c r="E786" s="102" t="b">
        <v>0</v>
      </c>
      <c r="F786" s="102" t="b">
        <v>0</v>
      </c>
      <c r="G786" s="102" t="b">
        <v>0</v>
      </c>
    </row>
    <row r="787" spans="1:7" ht="15">
      <c r="A787" s="97" t="s">
        <v>432</v>
      </c>
      <c r="B787" s="102">
        <v>12</v>
      </c>
      <c r="C787" s="118">
        <v>0.00829893519033519</v>
      </c>
      <c r="D787" s="102" t="s">
        <v>2611</v>
      </c>
      <c r="E787" s="102" t="b">
        <v>0</v>
      </c>
      <c r="F787" s="102" t="b">
        <v>0</v>
      </c>
      <c r="G787" s="102" t="b">
        <v>0</v>
      </c>
    </row>
    <row r="788" spans="1:7" ht="15">
      <c r="A788" s="97" t="s">
        <v>2686</v>
      </c>
      <c r="B788" s="102">
        <v>12</v>
      </c>
      <c r="C788" s="118">
        <v>0.00829893519033519</v>
      </c>
      <c r="D788" s="102" t="s">
        <v>2611</v>
      </c>
      <c r="E788" s="102" t="b">
        <v>0</v>
      </c>
      <c r="F788" s="102" t="b">
        <v>0</v>
      </c>
      <c r="G788" s="102" t="b">
        <v>0</v>
      </c>
    </row>
    <row r="789" spans="1:7" ht="15">
      <c r="A789" s="97" t="s">
        <v>2687</v>
      </c>
      <c r="B789" s="102">
        <v>12</v>
      </c>
      <c r="C789" s="118">
        <v>0.00829893519033519</v>
      </c>
      <c r="D789" s="102" t="s">
        <v>2611</v>
      </c>
      <c r="E789" s="102" t="b">
        <v>0</v>
      </c>
      <c r="F789" s="102" t="b">
        <v>0</v>
      </c>
      <c r="G789" s="102" t="b">
        <v>0</v>
      </c>
    </row>
    <row r="790" spans="1:7" ht="15">
      <c r="A790" s="97" t="s">
        <v>2688</v>
      </c>
      <c r="B790" s="102">
        <v>12</v>
      </c>
      <c r="C790" s="118">
        <v>0.00829893519033519</v>
      </c>
      <c r="D790" s="102" t="s">
        <v>2611</v>
      </c>
      <c r="E790" s="102" t="b">
        <v>0</v>
      </c>
      <c r="F790" s="102" t="b">
        <v>0</v>
      </c>
      <c r="G790" s="102" t="b">
        <v>0</v>
      </c>
    </row>
    <row r="791" spans="1:7" ht="15">
      <c r="A791" s="97" t="s">
        <v>2689</v>
      </c>
      <c r="B791" s="102">
        <v>12</v>
      </c>
      <c r="C791" s="118">
        <v>0.00829893519033519</v>
      </c>
      <c r="D791" s="102" t="s">
        <v>2611</v>
      </c>
      <c r="E791" s="102" t="b">
        <v>0</v>
      </c>
      <c r="F791" s="102" t="b">
        <v>0</v>
      </c>
      <c r="G791" s="102" t="b">
        <v>0</v>
      </c>
    </row>
    <row r="792" spans="1:7" ht="15">
      <c r="A792" s="97" t="s">
        <v>2690</v>
      </c>
      <c r="B792" s="102">
        <v>12</v>
      </c>
      <c r="C792" s="118">
        <v>0.00829893519033519</v>
      </c>
      <c r="D792" s="102" t="s">
        <v>2611</v>
      </c>
      <c r="E792" s="102" t="b">
        <v>0</v>
      </c>
      <c r="F792" s="102" t="b">
        <v>0</v>
      </c>
      <c r="G792" s="102" t="b">
        <v>0</v>
      </c>
    </row>
    <row r="793" spans="1:7" ht="15">
      <c r="A793" s="97" t="s">
        <v>2691</v>
      </c>
      <c r="B793" s="102">
        <v>12</v>
      </c>
      <c r="C793" s="118">
        <v>0.00829893519033519</v>
      </c>
      <c r="D793" s="102" t="s">
        <v>2611</v>
      </c>
      <c r="E793" s="102" t="b">
        <v>0</v>
      </c>
      <c r="F793" s="102" t="b">
        <v>0</v>
      </c>
      <c r="G793" s="102" t="b">
        <v>0</v>
      </c>
    </row>
    <row r="794" spans="1:7" ht="15">
      <c r="A794" s="97" t="s">
        <v>2692</v>
      </c>
      <c r="B794" s="102">
        <v>12</v>
      </c>
      <c r="C794" s="118">
        <v>0.00829893519033519</v>
      </c>
      <c r="D794" s="102" t="s">
        <v>2611</v>
      </c>
      <c r="E794" s="102" t="b">
        <v>0</v>
      </c>
      <c r="F794" s="102" t="b">
        <v>0</v>
      </c>
      <c r="G794" s="102" t="b">
        <v>0</v>
      </c>
    </row>
    <row r="795" spans="1:7" ht="15">
      <c r="A795" s="97" t="s">
        <v>2693</v>
      </c>
      <c r="B795" s="102">
        <v>12</v>
      </c>
      <c r="C795" s="118">
        <v>0.00829893519033519</v>
      </c>
      <c r="D795" s="102" t="s">
        <v>2611</v>
      </c>
      <c r="E795" s="102" t="b">
        <v>0</v>
      </c>
      <c r="F795" s="102" t="b">
        <v>0</v>
      </c>
      <c r="G795" s="102" t="b">
        <v>0</v>
      </c>
    </row>
    <row r="796" spans="1:7" ht="15">
      <c r="A796" s="97" t="s">
        <v>2694</v>
      </c>
      <c r="B796" s="102">
        <v>12</v>
      </c>
      <c r="C796" s="118">
        <v>0.00829893519033519</v>
      </c>
      <c r="D796" s="102" t="s">
        <v>2611</v>
      </c>
      <c r="E796" s="102" t="b">
        <v>0</v>
      </c>
      <c r="F796" s="102" t="b">
        <v>0</v>
      </c>
      <c r="G796" s="102" t="b">
        <v>0</v>
      </c>
    </row>
    <row r="797" spans="1:7" ht="15">
      <c r="A797" s="97" t="s">
        <v>2695</v>
      </c>
      <c r="B797" s="102">
        <v>12</v>
      </c>
      <c r="C797" s="118">
        <v>0.00829893519033519</v>
      </c>
      <c r="D797" s="102" t="s">
        <v>2611</v>
      </c>
      <c r="E797" s="102" t="b">
        <v>0</v>
      </c>
      <c r="F797" s="102" t="b">
        <v>0</v>
      </c>
      <c r="G797" s="102" t="b">
        <v>0</v>
      </c>
    </row>
    <row r="798" spans="1:7" ht="15">
      <c r="A798" s="97" t="s">
        <v>2696</v>
      </c>
      <c r="B798" s="102">
        <v>12</v>
      </c>
      <c r="C798" s="118">
        <v>0.00829893519033519</v>
      </c>
      <c r="D798" s="102" t="s">
        <v>2611</v>
      </c>
      <c r="E798" s="102" t="b">
        <v>0</v>
      </c>
      <c r="F798" s="102" t="b">
        <v>0</v>
      </c>
      <c r="G798" s="102" t="b">
        <v>0</v>
      </c>
    </row>
    <row r="799" spans="1:7" ht="15">
      <c r="A799" s="97" t="s">
        <v>2697</v>
      </c>
      <c r="B799" s="102">
        <v>12</v>
      </c>
      <c r="C799" s="118">
        <v>0.00829893519033519</v>
      </c>
      <c r="D799" s="102" t="s">
        <v>2611</v>
      </c>
      <c r="E799" s="102" t="b">
        <v>0</v>
      </c>
      <c r="F799" s="102" t="b">
        <v>0</v>
      </c>
      <c r="G799" s="102" t="b">
        <v>0</v>
      </c>
    </row>
    <row r="800" spans="1:7" ht="15">
      <c r="A800" s="97" t="s">
        <v>2698</v>
      </c>
      <c r="B800" s="102">
        <v>12</v>
      </c>
      <c r="C800" s="118">
        <v>0.00829893519033519</v>
      </c>
      <c r="D800" s="102" t="s">
        <v>2611</v>
      </c>
      <c r="E800" s="102" t="b">
        <v>0</v>
      </c>
      <c r="F800" s="102" t="b">
        <v>0</v>
      </c>
      <c r="G800" s="102" t="b">
        <v>0</v>
      </c>
    </row>
    <row r="801" spans="1:7" ht="15">
      <c r="A801" s="97" t="s">
        <v>2699</v>
      </c>
      <c r="B801" s="102">
        <v>12</v>
      </c>
      <c r="C801" s="118">
        <v>0.00829893519033519</v>
      </c>
      <c r="D801" s="102" t="s">
        <v>2611</v>
      </c>
      <c r="E801" s="102" t="b">
        <v>0</v>
      </c>
      <c r="F801" s="102" t="b">
        <v>0</v>
      </c>
      <c r="G801" s="102" t="b">
        <v>0</v>
      </c>
    </row>
    <row r="802" spans="1:7" ht="15">
      <c r="A802" s="97" t="s">
        <v>2700</v>
      </c>
      <c r="B802" s="102">
        <v>12</v>
      </c>
      <c r="C802" s="118">
        <v>0.00829893519033519</v>
      </c>
      <c r="D802" s="102" t="s">
        <v>2611</v>
      </c>
      <c r="E802" s="102" t="b">
        <v>0</v>
      </c>
      <c r="F802" s="102" t="b">
        <v>0</v>
      </c>
      <c r="G802" s="102" t="b">
        <v>0</v>
      </c>
    </row>
    <row r="803" spans="1:7" ht="15">
      <c r="A803" s="97" t="s">
        <v>2701</v>
      </c>
      <c r="B803" s="102">
        <v>12</v>
      </c>
      <c r="C803" s="118">
        <v>0.00829893519033519</v>
      </c>
      <c r="D803" s="102" t="s">
        <v>2611</v>
      </c>
      <c r="E803" s="102" t="b">
        <v>0</v>
      </c>
      <c r="F803" s="102" t="b">
        <v>0</v>
      </c>
      <c r="G803" s="102" t="b">
        <v>0</v>
      </c>
    </row>
    <row r="804" spans="1:7" ht="15">
      <c r="A804" s="97" t="s">
        <v>2684</v>
      </c>
      <c r="B804" s="102">
        <v>12</v>
      </c>
      <c r="C804" s="118">
        <v>0.00829893519033519</v>
      </c>
      <c r="D804" s="102" t="s">
        <v>2611</v>
      </c>
      <c r="E804" s="102" t="b">
        <v>0</v>
      </c>
      <c r="F804" s="102" t="b">
        <v>0</v>
      </c>
      <c r="G804" s="102" t="b">
        <v>0</v>
      </c>
    </row>
    <row r="805" spans="1:7" ht="15">
      <c r="A805" s="97" t="s">
        <v>2702</v>
      </c>
      <c r="B805" s="102">
        <v>12</v>
      </c>
      <c r="C805" s="118">
        <v>0.00829893519033519</v>
      </c>
      <c r="D805" s="102" t="s">
        <v>2611</v>
      </c>
      <c r="E805" s="102" t="b">
        <v>0</v>
      </c>
      <c r="F805" s="102" t="b">
        <v>0</v>
      </c>
      <c r="G805" s="102" t="b">
        <v>0</v>
      </c>
    </row>
    <row r="806" spans="1:7" ht="15">
      <c r="A806" s="97" t="s">
        <v>2703</v>
      </c>
      <c r="B806" s="102">
        <v>12</v>
      </c>
      <c r="C806" s="118">
        <v>0.00829893519033519</v>
      </c>
      <c r="D806" s="102" t="s">
        <v>2611</v>
      </c>
      <c r="E806" s="102" t="b">
        <v>0</v>
      </c>
      <c r="F806" s="102" t="b">
        <v>0</v>
      </c>
      <c r="G806" s="102" t="b">
        <v>0</v>
      </c>
    </row>
    <row r="807" spans="1:7" ht="15">
      <c r="A807" s="97" t="s">
        <v>1480</v>
      </c>
      <c r="B807" s="102">
        <v>12</v>
      </c>
      <c r="C807" s="118">
        <v>0.00829893519033519</v>
      </c>
      <c r="D807" s="102" t="s">
        <v>2611</v>
      </c>
      <c r="E807" s="102" t="b">
        <v>0</v>
      </c>
      <c r="F807" s="102" t="b">
        <v>0</v>
      </c>
      <c r="G807" s="102" t="b">
        <v>0</v>
      </c>
    </row>
    <row r="808" spans="1:7" ht="15">
      <c r="A808" s="97" t="s">
        <v>349</v>
      </c>
      <c r="B808" s="102">
        <v>6</v>
      </c>
      <c r="C808" s="118">
        <v>0.007179970907221098</v>
      </c>
      <c r="D808" s="102" t="s">
        <v>2611</v>
      </c>
      <c r="E808" s="102" t="b">
        <v>0</v>
      </c>
      <c r="F808" s="102" t="b">
        <v>0</v>
      </c>
      <c r="G808" s="102" t="b">
        <v>0</v>
      </c>
    </row>
    <row r="809" spans="1:7" ht="15">
      <c r="A809" s="97" t="s">
        <v>501</v>
      </c>
      <c r="B809" s="102">
        <v>5</v>
      </c>
      <c r="C809" s="118">
        <v>0.006647581287737029</v>
      </c>
      <c r="D809" s="102" t="s">
        <v>2611</v>
      </c>
      <c r="E809" s="102" t="b">
        <v>0</v>
      </c>
      <c r="F809" s="102" t="b">
        <v>0</v>
      </c>
      <c r="G809" s="102" t="b">
        <v>0</v>
      </c>
    </row>
    <row r="810" spans="1:7" ht="15">
      <c r="A810" s="97" t="s">
        <v>2681</v>
      </c>
      <c r="B810" s="102">
        <v>3</v>
      </c>
      <c r="C810" s="118">
        <v>0.0051052371096372996</v>
      </c>
      <c r="D810" s="102" t="s">
        <v>2611</v>
      </c>
      <c r="E810" s="102" t="b">
        <v>0</v>
      </c>
      <c r="F810" s="102" t="b">
        <v>0</v>
      </c>
      <c r="G810" s="102" t="b">
        <v>0</v>
      </c>
    </row>
    <row r="811" spans="1:7" ht="15">
      <c r="A811" s="97" t="s">
        <v>2818</v>
      </c>
      <c r="B811" s="102">
        <v>3</v>
      </c>
      <c r="C811" s="118">
        <v>0.0051052371096372996</v>
      </c>
      <c r="D811" s="102" t="s">
        <v>2611</v>
      </c>
      <c r="E811" s="102" t="b">
        <v>0</v>
      </c>
      <c r="F811" s="102" t="b">
        <v>0</v>
      </c>
      <c r="G811" s="102" t="b">
        <v>0</v>
      </c>
    </row>
    <row r="812" spans="1:7" ht="15">
      <c r="A812" s="97" t="s">
        <v>2819</v>
      </c>
      <c r="B812" s="102">
        <v>3</v>
      </c>
      <c r="C812" s="118">
        <v>0.0051052371096372996</v>
      </c>
      <c r="D812" s="102" t="s">
        <v>2611</v>
      </c>
      <c r="E812" s="102" t="b">
        <v>0</v>
      </c>
      <c r="F812" s="102" t="b">
        <v>0</v>
      </c>
      <c r="G812" s="102" t="b">
        <v>0</v>
      </c>
    </row>
    <row r="813" spans="1:7" ht="15">
      <c r="A813" s="97" t="s">
        <v>2820</v>
      </c>
      <c r="B813" s="102">
        <v>3</v>
      </c>
      <c r="C813" s="118">
        <v>0.0051052371096372996</v>
      </c>
      <c r="D813" s="102" t="s">
        <v>2611</v>
      </c>
      <c r="E813" s="102" t="b">
        <v>0</v>
      </c>
      <c r="F813" s="102" t="b">
        <v>0</v>
      </c>
      <c r="G813" s="102" t="b">
        <v>0</v>
      </c>
    </row>
    <row r="814" spans="1:7" ht="15">
      <c r="A814" s="97" t="s">
        <v>2821</v>
      </c>
      <c r="B814" s="102">
        <v>3</v>
      </c>
      <c r="C814" s="118">
        <v>0.0051052371096372996</v>
      </c>
      <c r="D814" s="102" t="s">
        <v>2611</v>
      </c>
      <c r="E814" s="102" t="b">
        <v>0</v>
      </c>
      <c r="F814" s="102" t="b">
        <v>0</v>
      </c>
      <c r="G814" s="102" t="b">
        <v>0</v>
      </c>
    </row>
    <row r="815" spans="1:7" ht="15">
      <c r="A815" s="97" t="s">
        <v>2822</v>
      </c>
      <c r="B815" s="102">
        <v>3</v>
      </c>
      <c r="C815" s="118">
        <v>0.0051052371096372996</v>
      </c>
      <c r="D815" s="102" t="s">
        <v>2611</v>
      </c>
      <c r="E815" s="102" t="b">
        <v>0</v>
      </c>
      <c r="F815" s="102" t="b">
        <v>0</v>
      </c>
      <c r="G815" s="102" t="b">
        <v>0</v>
      </c>
    </row>
    <row r="816" spans="1:7" ht="15">
      <c r="A816" s="97" t="s">
        <v>2823</v>
      </c>
      <c r="B816" s="102">
        <v>3</v>
      </c>
      <c r="C816" s="118">
        <v>0.0051052371096372996</v>
      </c>
      <c r="D816" s="102" t="s">
        <v>2611</v>
      </c>
      <c r="E816" s="102" t="b">
        <v>0</v>
      </c>
      <c r="F816" s="102" t="b">
        <v>0</v>
      </c>
      <c r="G816" s="102" t="b">
        <v>0</v>
      </c>
    </row>
    <row r="817" spans="1:7" ht="15">
      <c r="A817" s="97" t="s">
        <v>2824</v>
      </c>
      <c r="B817" s="102">
        <v>3</v>
      </c>
      <c r="C817" s="118">
        <v>0.0051052371096372996</v>
      </c>
      <c r="D817" s="102" t="s">
        <v>2611</v>
      </c>
      <c r="E817" s="102" t="b">
        <v>0</v>
      </c>
      <c r="F817" s="102" t="b">
        <v>0</v>
      </c>
      <c r="G817" s="102" t="b">
        <v>0</v>
      </c>
    </row>
    <row r="818" spans="1:7" ht="15">
      <c r="A818" s="97" t="s">
        <v>2825</v>
      </c>
      <c r="B818" s="102">
        <v>3</v>
      </c>
      <c r="C818" s="118">
        <v>0.0051052371096372996</v>
      </c>
      <c r="D818" s="102" t="s">
        <v>2611</v>
      </c>
      <c r="E818" s="102" t="b">
        <v>0</v>
      </c>
      <c r="F818" s="102" t="b">
        <v>0</v>
      </c>
      <c r="G818" s="102" t="b">
        <v>0</v>
      </c>
    </row>
    <row r="819" spans="1:7" ht="15">
      <c r="A819" s="97" t="s">
        <v>2768</v>
      </c>
      <c r="B819" s="102">
        <v>3</v>
      </c>
      <c r="C819" s="118">
        <v>0.0051052371096372996</v>
      </c>
      <c r="D819" s="102" t="s">
        <v>2611</v>
      </c>
      <c r="E819" s="102" t="b">
        <v>0</v>
      </c>
      <c r="F819" s="102" t="b">
        <v>0</v>
      </c>
      <c r="G819" s="102" t="b">
        <v>0</v>
      </c>
    </row>
    <row r="820" spans="1:7" ht="15">
      <c r="A820" s="97" t="s">
        <v>2826</v>
      </c>
      <c r="B820" s="102">
        <v>3</v>
      </c>
      <c r="C820" s="118">
        <v>0.0051052371096372996</v>
      </c>
      <c r="D820" s="102" t="s">
        <v>2611</v>
      </c>
      <c r="E820" s="102" t="b">
        <v>0</v>
      </c>
      <c r="F820" s="102" t="b">
        <v>0</v>
      </c>
      <c r="G820" s="102" t="b">
        <v>0</v>
      </c>
    </row>
    <row r="821" spans="1:7" ht="15">
      <c r="A821" s="97" t="s">
        <v>2827</v>
      </c>
      <c r="B821" s="102">
        <v>3</v>
      </c>
      <c r="C821" s="118">
        <v>0.0051052371096372996</v>
      </c>
      <c r="D821" s="102" t="s">
        <v>2611</v>
      </c>
      <c r="E821" s="102" t="b">
        <v>0</v>
      </c>
      <c r="F821" s="102" t="b">
        <v>0</v>
      </c>
      <c r="G821" s="102" t="b">
        <v>0</v>
      </c>
    </row>
    <row r="822" spans="1:7" ht="15">
      <c r="A822" s="97" t="s">
        <v>2828</v>
      </c>
      <c r="B822" s="102">
        <v>3</v>
      </c>
      <c r="C822" s="118">
        <v>0.0051052371096372996</v>
      </c>
      <c r="D822" s="102" t="s">
        <v>2611</v>
      </c>
      <c r="E822" s="102" t="b">
        <v>0</v>
      </c>
      <c r="F822" s="102" t="b">
        <v>0</v>
      </c>
      <c r="G822" s="102" t="b">
        <v>0</v>
      </c>
    </row>
    <row r="823" spans="1:7" ht="15">
      <c r="A823" s="97" t="s">
        <v>2769</v>
      </c>
      <c r="B823" s="102">
        <v>3</v>
      </c>
      <c r="C823" s="118">
        <v>0.0051052371096372996</v>
      </c>
      <c r="D823" s="102" t="s">
        <v>2611</v>
      </c>
      <c r="E823" s="102" t="b">
        <v>0</v>
      </c>
      <c r="F823" s="102" t="b">
        <v>0</v>
      </c>
      <c r="G823" s="102" t="b">
        <v>0</v>
      </c>
    </row>
    <row r="824" spans="1:7" ht="15">
      <c r="A824" s="97" t="s">
        <v>2829</v>
      </c>
      <c r="B824" s="102">
        <v>3</v>
      </c>
      <c r="C824" s="118">
        <v>0.0051052371096372996</v>
      </c>
      <c r="D824" s="102" t="s">
        <v>2611</v>
      </c>
      <c r="E824" s="102" t="b">
        <v>0</v>
      </c>
      <c r="F824" s="102" t="b">
        <v>0</v>
      </c>
      <c r="G824" s="102" t="b">
        <v>0</v>
      </c>
    </row>
    <row r="825" spans="1:7" ht="15">
      <c r="A825" s="97" t="s">
        <v>2830</v>
      </c>
      <c r="B825" s="102">
        <v>3</v>
      </c>
      <c r="C825" s="118">
        <v>0.0051052371096372996</v>
      </c>
      <c r="D825" s="102" t="s">
        <v>2611</v>
      </c>
      <c r="E825" s="102" t="b">
        <v>0</v>
      </c>
      <c r="F825" s="102" t="b">
        <v>0</v>
      </c>
      <c r="G825" s="102" t="b">
        <v>0</v>
      </c>
    </row>
    <row r="826" spans="1:7" ht="15">
      <c r="A826" s="97" t="s">
        <v>2831</v>
      </c>
      <c r="B826" s="102">
        <v>3</v>
      </c>
      <c r="C826" s="118">
        <v>0.0051052371096372996</v>
      </c>
      <c r="D826" s="102" t="s">
        <v>2611</v>
      </c>
      <c r="E826" s="102" t="b">
        <v>0</v>
      </c>
      <c r="F826" s="102" t="b">
        <v>0</v>
      </c>
      <c r="G826" s="102" t="b">
        <v>0</v>
      </c>
    </row>
    <row r="827" spans="1:7" ht="15">
      <c r="A827" s="97" t="s">
        <v>348</v>
      </c>
      <c r="B827" s="102">
        <v>3</v>
      </c>
      <c r="C827" s="118">
        <v>0.0051052371096372996</v>
      </c>
      <c r="D827" s="102" t="s">
        <v>2611</v>
      </c>
      <c r="E827" s="102" t="b">
        <v>0</v>
      </c>
      <c r="F827" s="102" t="b">
        <v>0</v>
      </c>
      <c r="G827" s="102" t="b">
        <v>0</v>
      </c>
    </row>
    <row r="828" spans="1:7" ht="15">
      <c r="A828" s="97" t="s">
        <v>2733</v>
      </c>
      <c r="B828" s="102">
        <v>3</v>
      </c>
      <c r="C828" s="118">
        <v>0.0051052371096372996</v>
      </c>
      <c r="D828" s="102" t="s">
        <v>2611</v>
      </c>
      <c r="E828" s="102" t="b">
        <v>0</v>
      </c>
      <c r="F828" s="102" t="b">
        <v>0</v>
      </c>
      <c r="G828" s="102" t="b">
        <v>0</v>
      </c>
    </row>
    <row r="829" spans="1:7" ht="15">
      <c r="A829" s="97" t="s">
        <v>2836</v>
      </c>
      <c r="B829" s="102">
        <v>3</v>
      </c>
      <c r="C829" s="118">
        <v>0.0051052371096372996</v>
      </c>
      <c r="D829" s="102" t="s">
        <v>2611</v>
      </c>
      <c r="E829" s="102" t="b">
        <v>0</v>
      </c>
      <c r="F829" s="102" t="b">
        <v>0</v>
      </c>
      <c r="G829" s="102" t="b">
        <v>0</v>
      </c>
    </row>
    <row r="830" spans="1:7" ht="15">
      <c r="A830" s="97" t="s">
        <v>436</v>
      </c>
      <c r="B830" s="102">
        <v>3</v>
      </c>
      <c r="C830" s="118">
        <v>0.0059916025075685804</v>
      </c>
      <c r="D830" s="102" t="s">
        <v>2611</v>
      </c>
      <c r="E830" s="102" t="b">
        <v>0</v>
      </c>
      <c r="F830" s="102" t="b">
        <v>0</v>
      </c>
      <c r="G830" s="102" t="b">
        <v>0</v>
      </c>
    </row>
    <row r="831" spans="1:7" ht="15">
      <c r="A831" s="97" t="s">
        <v>2957</v>
      </c>
      <c r="B831" s="102">
        <v>2</v>
      </c>
      <c r="C831" s="118">
        <v>0.003994401671712387</v>
      </c>
      <c r="D831" s="102" t="s">
        <v>2611</v>
      </c>
      <c r="E831" s="102" t="b">
        <v>0</v>
      </c>
      <c r="F831" s="102" t="b">
        <v>0</v>
      </c>
      <c r="G831" s="102" t="b">
        <v>0</v>
      </c>
    </row>
    <row r="832" spans="1:7" ht="15">
      <c r="A832" s="97" t="s">
        <v>2711</v>
      </c>
      <c r="B832" s="102">
        <v>2</v>
      </c>
      <c r="C832" s="118">
        <v>0.003994401671712387</v>
      </c>
      <c r="D832" s="102" t="s">
        <v>2611</v>
      </c>
      <c r="E832" s="102" t="b">
        <v>0</v>
      </c>
      <c r="F832" s="102" t="b">
        <v>0</v>
      </c>
      <c r="G832" s="102" t="b">
        <v>0</v>
      </c>
    </row>
    <row r="833" spans="1:7" ht="15">
      <c r="A833" s="97" t="s">
        <v>2790</v>
      </c>
      <c r="B833" s="102">
        <v>2</v>
      </c>
      <c r="C833" s="118">
        <v>0.003994401671712387</v>
      </c>
      <c r="D833" s="102" t="s">
        <v>2611</v>
      </c>
      <c r="E833" s="102" t="b">
        <v>0</v>
      </c>
      <c r="F833" s="102" t="b">
        <v>0</v>
      </c>
      <c r="G833" s="102" t="b">
        <v>0</v>
      </c>
    </row>
    <row r="834" spans="1:7" ht="15">
      <c r="A834" s="97" t="s">
        <v>3019</v>
      </c>
      <c r="B834" s="102">
        <v>2</v>
      </c>
      <c r="C834" s="118">
        <v>0.003994401671712387</v>
      </c>
      <c r="D834" s="102" t="s">
        <v>2611</v>
      </c>
      <c r="E834" s="102" t="b">
        <v>0</v>
      </c>
      <c r="F834" s="102" t="b">
        <v>0</v>
      </c>
      <c r="G834" s="102" t="b">
        <v>0</v>
      </c>
    </row>
    <row r="835" spans="1:7" ht="15">
      <c r="A835" s="97" t="s">
        <v>2955</v>
      </c>
      <c r="B835" s="102">
        <v>2</v>
      </c>
      <c r="C835" s="118">
        <v>0.003994401671712387</v>
      </c>
      <c r="D835" s="102" t="s">
        <v>2611</v>
      </c>
      <c r="E835" s="102" t="b">
        <v>0</v>
      </c>
      <c r="F835" s="102" t="b">
        <v>0</v>
      </c>
      <c r="G835" s="102" t="b">
        <v>0</v>
      </c>
    </row>
    <row r="836" spans="1:7" ht="15">
      <c r="A836" s="97" t="s">
        <v>500</v>
      </c>
      <c r="B836" s="102">
        <v>2</v>
      </c>
      <c r="C836" s="118">
        <v>0.003994401671712387</v>
      </c>
      <c r="D836" s="102" t="s">
        <v>2611</v>
      </c>
      <c r="E836" s="102" t="b">
        <v>0</v>
      </c>
      <c r="F836" s="102" t="b">
        <v>0</v>
      </c>
      <c r="G836" s="102" t="b">
        <v>0</v>
      </c>
    </row>
    <row r="837" spans="1:7" ht="15">
      <c r="A837" s="97" t="s">
        <v>499</v>
      </c>
      <c r="B837" s="102">
        <v>2</v>
      </c>
      <c r="C837" s="118">
        <v>0.003994401671712387</v>
      </c>
      <c r="D837" s="102" t="s">
        <v>2611</v>
      </c>
      <c r="E837" s="102" t="b">
        <v>0</v>
      </c>
      <c r="F837" s="102" t="b">
        <v>0</v>
      </c>
      <c r="G837" s="102" t="b">
        <v>0</v>
      </c>
    </row>
    <row r="838" spans="1:7" ht="15">
      <c r="A838" s="97" t="s">
        <v>498</v>
      </c>
      <c r="B838" s="102">
        <v>2</v>
      </c>
      <c r="C838" s="118">
        <v>0.003994401671712387</v>
      </c>
      <c r="D838" s="102" t="s">
        <v>2611</v>
      </c>
      <c r="E838" s="102" t="b">
        <v>0</v>
      </c>
      <c r="F838" s="102" t="b">
        <v>0</v>
      </c>
      <c r="G838" s="102" t="b">
        <v>0</v>
      </c>
    </row>
    <row r="839" spans="1:7" ht="15">
      <c r="A839" s="97" t="s">
        <v>2954</v>
      </c>
      <c r="B839" s="102">
        <v>2</v>
      </c>
      <c r="C839" s="118">
        <v>0.003994401671712387</v>
      </c>
      <c r="D839" s="102" t="s">
        <v>2611</v>
      </c>
      <c r="E839" s="102" t="b">
        <v>0</v>
      </c>
      <c r="F839" s="102" t="b">
        <v>0</v>
      </c>
      <c r="G839" s="102" t="b">
        <v>0</v>
      </c>
    </row>
    <row r="840" spans="1:7" ht="15">
      <c r="A840" s="97" t="s">
        <v>2815</v>
      </c>
      <c r="B840" s="102">
        <v>2</v>
      </c>
      <c r="C840" s="118">
        <v>0.005004569442396888</v>
      </c>
      <c r="D840" s="102" t="s">
        <v>2611</v>
      </c>
      <c r="E840" s="102" t="b">
        <v>0</v>
      </c>
      <c r="F840" s="102" t="b">
        <v>0</v>
      </c>
      <c r="G840" s="102" t="b">
        <v>0</v>
      </c>
    </row>
    <row r="841" spans="1:7" ht="15">
      <c r="A841" s="97" t="s">
        <v>2660</v>
      </c>
      <c r="B841" s="102">
        <v>2</v>
      </c>
      <c r="C841" s="118">
        <v>0.003994401671712387</v>
      </c>
      <c r="D841" s="102" t="s">
        <v>2611</v>
      </c>
      <c r="E841" s="102" t="b">
        <v>0</v>
      </c>
      <c r="F841" s="102" t="b">
        <v>0</v>
      </c>
      <c r="G841" s="102" t="b">
        <v>0</v>
      </c>
    </row>
    <row r="842" spans="1:7" ht="15">
      <c r="A842" s="97" t="s">
        <v>2947</v>
      </c>
      <c r="B842" s="102">
        <v>2</v>
      </c>
      <c r="C842" s="118">
        <v>0.005004569442396888</v>
      </c>
      <c r="D842" s="102" t="s">
        <v>2611</v>
      </c>
      <c r="E842" s="102" t="b">
        <v>0</v>
      </c>
      <c r="F842" s="102" t="b">
        <v>0</v>
      </c>
      <c r="G842" s="102" t="b">
        <v>0</v>
      </c>
    </row>
    <row r="843" spans="1:7" ht="15">
      <c r="A843" s="97" t="s">
        <v>2777</v>
      </c>
      <c r="B843" s="102">
        <v>2</v>
      </c>
      <c r="C843" s="118">
        <v>0.003994401671712387</v>
      </c>
      <c r="D843" s="102" t="s">
        <v>2611</v>
      </c>
      <c r="E843" s="102" t="b">
        <v>0</v>
      </c>
      <c r="F843" s="102" t="b">
        <v>0</v>
      </c>
      <c r="G843" s="102" t="b">
        <v>0</v>
      </c>
    </row>
    <row r="844" spans="1:7" ht="15">
      <c r="A844" s="97" t="s">
        <v>712</v>
      </c>
      <c r="B844" s="102">
        <v>11</v>
      </c>
      <c r="C844" s="118">
        <v>0</v>
      </c>
      <c r="D844" s="102" t="s">
        <v>2612</v>
      </c>
      <c r="E844" s="102" t="b">
        <v>0</v>
      </c>
      <c r="F844" s="102" t="b">
        <v>0</v>
      </c>
      <c r="G844" s="102" t="b">
        <v>0</v>
      </c>
    </row>
    <row r="845" spans="1:7" ht="15">
      <c r="A845" s="97" t="s">
        <v>2661</v>
      </c>
      <c r="B845" s="102">
        <v>4</v>
      </c>
      <c r="C845" s="118">
        <v>0.00981749036492207</v>
      </c>
      <c r="D845" s="102" t="s">
        <v>2612</v>
      </c>
      <c r="E845" s="102" t="b">
        <v>0</v>
      </c>
      <c r="F845" s="102" t="b">
        <v>0</v>
      </c>
      <c r="G845" s="102" t="b">
        <v>0</v>
      </c>
    </row>
    <row r="846" spans="1:7" ht="15">
      <c r="A846" s="97" t="s">
        <v>385</v>
      </c>
      <c r="B846" s="102">
        <v>4</v>
      </c>
      <c r="C846" s="118">
        <v>0.00981749036492207</v>
      </c>
      <c r="D846" s="102" t="s">
        <v>2612</v>
      </c>
      <c r="E846" s="102" t="b">
        <v>0</v>
      </c>
      <c r="F846" s="102" t="b">
        <v>0</v>
      </c>
      <c r="G846" s="102" t="b">
        <v>0</v>
      </c>
    </row>
    <row r="847" spans="1:7" ht="15">
      <c r="A847" s="97" t="s">
        <v>2734</v>
      </c>
      <c r="B847" s="102">
        <v>3</v>
      </c>
      <c r="C847" s="118">
        <v>0.009457063079975908</v>
      </c>
      <c r="D847" s="102" t="s">
        <v>2612</v>
      </c>
      <c r="E847" s="102" t="b">
        <v>0</v>
      </c>
      <c r="F847" s="102" t="b">
        <v>0</v>
      </c>
      <c r="G847" s="102" t="b">
        <v>0</v>
      </c>
    </row>
    <row r="848" spans="1:7" ht="15">
      <c r="A848" s="97" t="s">
        <v>384</v>
      </c>
      <c r="B848" s="102">
        <v>2</v>
      </c>
      <c r="C848" s="118">
        <v>0.008272208821164737</v>
      </c>
      <c r="D848" s="102" t="s">
        <v>2612</v>
      </c>
      <c r="E848" s="102" t="b">
        <v>0</v>
      </c>
      <c r="F848" s="102" t="b">
        <v>0</v>
      </c>
      <c r="G848" s="102" t="b">
        <v>0</v>
      </c>
    </row>
    <row r="849" spans="1:7" ht="15">
      <c r="A849" s="97" t="s">
        <v>2934</v>
      </c>
      <c r="B849" s="102">
        <v>2</v>
      </c>
      <c r="C849" s="118">
        <v>0.011635672459868438</v>
      </c>
      <c r="D849" s="102" t="s">
        <v>2612</v>
      </c>
      <c r="E849" s="102" t="b">
        <v>0</v>
      </c>
      <c r="F849" s="102" t="b">
        <v>0</v>
      </c>
      <c r="G849" s="102" t="b">
        <v>0</v>
      </c>
    </row>
    <row r="850" spans="1:7" ht="15">
      <c r="A850" s="97" t="s">
        <v>2812</v>
      </c>
      <c r="B850" s="102">
        <v>2</v>
      </c>
      <c r="C850" s="118">
        <v>0.008272208821164737</v>
      </c>
      <c r="D850" s="102" t="s">
        <v>2612</v>
      </c>
      <c r="E850" s="102" t="b">
        <v>0</v>
      </c>
      <c r="F850" s="102" t="b">
        <v>0</v>
      </c>
      <c r="G850" s="102" t="b">
        <v>0</v>
      </c>
    </row>
    <row r="851" spans="1:7" ht="15">
      <c r="A851" s="97" t="s">
        <v>2968</v>
      </c>
      <c r="B851" s="102">
        <v>2</v>
      </c>
      <c r="C851" s="118">
        <v>0.008272208821164737</v>
      </c>
      <c r="D851" s="102" t="s">
        <v>2612</v>
      </c>
      <c r="E851" s="102" t="b">
        <v>0</v>
      </c>
      <c r="F851" s="102" t="b">
        <v>0</v>
      </c>
      <c r="G851" s="102" t="b">
        <v>0</v>
      </c>
    </row>
    <row r="852" spans="1:7" ht="15">
      <c r="A852" s="97" t="s">
        <v>450</v>
      </c>
      <c r="B852" s="102">
        <v>2</v>
      </c>
      <c r="C852" s="118">
        <v>0.008272208821164737</v>
      </c>
      <c r="D852" s="102" t="s">
        <v>2612</v>
      </c>
      <c r="E852" s="102" t="b">
        <v>0</v>
      </c>
      <c r="F852" s="102" t="b">
        <v>0</v>
      </c>
      <c r="G852" s="102" t="b">
        <v>0</v>
      </c>
    </row>
    <row r="853" spans="1:7" ht="15">
      <c r="A853" s="97" t="s">
        <v>2970</v>
      </c>
      <c r="B853" s="102">
        <v>2</v>
      </c>
      <c r="C853" s="118">
        <v>0.008272208821164737</v>
      </c>
      <c r="D853" s="102" t="s">
        <v>2612</v>
      </c>
      <c r="E853" s="102" t="b">
        <v>0</v>
      </c>
      <c r="F853" s="102" t="b">
        <v>0</v>
      </c>
      <c r="G853" s="102" t="b">
        <v>0</v>
      </c>
    </row>
    <row r="854" spans="1:7" ht="15">
      <c r="A854" s="97" t="s">
        <v>712</v>
      </c>
      <c r="B854" s="102">
        <v>6</v>
      </c>
      <c r="C854" s="118">
        <v>0</v>
      </c>
      <c r="D854" s="102" t="s">
        <v>2613</v>
      </c>
      <c r="E854" s="102" t="b">
        <v>0</v>
      </c>
      <c r="F854" s="102" t="b">
        <v>0</v>
      </c>
      <c r="G854" s="102" t="b">
        <v>0</v>
      </c>
    </row>
    <row r="855" spans="1:7" ht="15">
      <c r="A855" s="97" t="s">
        <v>388</v>
      </c>
      <c r="B855" s="102">
        <v>5</v>
      </c>
      <c r="C855" s="118">
        <v>0.0040815075282280835</v>
      </c>
      <c r="D855" s="102" t="s">
        <v>2613</v>
      </c>
      <c r="E855" s="102" t="b">
        <v>0</v>
      </c>
      <c r="F855" s="102" t="b">
        <v>0</v>
      </c>
      <c r="G855" s="102" t="b">
        <v>0</v>
      </c>
    </row>
    <row r="856" spans="1:7" ht="15">
      <c r="A856" s="97" t="s">
        <v>390</v>
      </c>
      <c r="B856" s="102">
        <v>3</v>
      </c>
      <c r="C856" s="118">
        <v>0.009310206051463337</v>
      </c>
      <c r="D856" s="102" t="s">
        <v>2613</v>
      </c>
      <c r="E856" s="102" t="b">
        <v>0</v>
      </c>
      <c r="F856" s="102" t="b">
        <v>0</v>
      </c>
      <c r="G856" s="102" t="b">
        <v>0</v>
      </c>
    </row>
    <row r="857" spans="1:7" ht="15">
      <c r="A857" s="97" t="s">
        <v>393</v>
      </c>
      <c r="B857" s="102">
        <v>2</v>
      </c>
      <c r="C857" s="118">
        <v>0.00983755164370438</v>
      </c>
      <c r="D857" s="102" t="s">
        <v>2613</v>
      </c>
      <c r="E857" s="102" t="b">
        <v>0</v>
      </c>
      <c r="F857" s="102" t="b">
        <v>0</v>
      </c>
      <c r="G857" s="102" t="b">
        <v>0</v>
      </c>
    </row>
    <row r="858" spans="1:7" ht="15">
      <c r="A858" s="97" t="s">
        <v>3062</v>
      </c>
      <c r="B858" s="102">
        <v>2</v>
      </c>
      <c r="C858" s="118">
        <v>0.00983755164370438</v>
      </c>
      <c r="D858" s="102" t="s">
        <v>2613</v>
      </c>
      <c r="E858" s="102" t="b">
        <v>0</v>
      </c>
      <c r="F858" s="102" t="b">
        <v>0</v>
      </c>
      <c r="G858" s="102" t="b">
        <v>0</v>
      </c>
    </row>
    <row r="859" spans="1:7" ht="15">
      <c r="A859" s="97" t="s">
        <v>3063</v>
      </c>
      <c r="B859" s="102">
        <v>2</v>
      </c>
      <c r="C859" s="118">
        <v>0.00983755164370438</v>
      </c>
      <c r="D859" s="102" t="s">
        <v>2613</v>
      </c>
      <c r="E859" s="102" t="b">
        <v>0</v>
      </c>
      <c r="F859" s="102" t="b">
        <v>0</v>
      </c>
      <c r="G859" s="102" t="b">
        <v>0</v>
      </c>
    </row>
    <row r="860" spans="1:7" ht="15">
      <c r="A860" s="97" t="s">
        <v>2674</v>
      </c>
      <c r="B860" s="102">
        <v>2</v>
      </c>
      <c r="C860" s="118">
        <v>0.00983755164370438</v>
      </c>
      <c r="D860" s="102" t="s">
        <v>2613</v>
      </c>
      <c r="E860" s="102" t="b">
        <v>0</v>
      </c>
      <c r="F860" s="102" t="b">
        <v>0</v>
      </c>
      <c r="G860" s="102" t="b">
        <v>0</v>
      </c>
    </row>
    <row r="861" spans="1:7" ht="15">
      <c r="A861" s="97" t="s">
        <v>2866</v>
      </c>
      <c r="B861" s="102">
        <v>2</v>
      </c>
      <c r="C861" s="118">
        <v>0.00983755164370438</v>
      </c>
      <c r="D861" s="102" t="s">
        <v>2613</v>
      </c>
      <c r="E861" s="102" t="b">
        <v>0</v>
      </c>
      <c r="F861" s="102" t="b">
        <v>0</v>
      </c>
      <c r="G861" s="102" t="b">
        <v>0</v>
      </c>
    </row>
    <row r="862" spans="1:7" ht="15">
      <c r="A862" s="97" t="s">
        <v>2865</v>
      </c>
      <c r="B862" s="102">
        <v>2</v>
      </c>
      <c r="C862" s="118">
        <v>0.00983755164370438</v>
      </c>
      <c r="D862" s="102" t="s">
        <v>2613</v>
      </c>
      <c r="E862" s="102" t="b">
        <v>0</v>
      </c>
      <c r="F862" s="102" t="b">
        <v>0</v>
      </c>
      <c r="G862" s="102" t="b">
        <v>0</v>
      </c>
    </row>
    <row r="863" spans="1:7" ht="15">
      <c r="A863" s="97" t="s">
        <v>3064</v>
      </c>
      <c r="B863" s="102">
        <v>2</v>
      </c>
      <c r="C863" s="118">
        <v>0.00983755164370438</v>
      </c>
      <c r="D863" s="102" t="s">
        <v>2613</v>
      </c>
      <c r="E863" s="102" t="b">
        <v>0</v>
      </c>
      <c r="F863" s="102" t="b">
        <v>0</v>
      </c>
      <c r="G863" s="102" t="b">
        <v>0</v>
      </c>
    </row>
    <row r="864" spans="1:7" ht="15">
      <c r="A864" s="97" t="s">
        <v>2661</v>
      </c>
      <c r="B864" s="102">
        <v>2</v>
      </c>
      <c r="C864" s="118">
        <v>0.00983755164370438</v>
      </c>
      <c r="D864" s="102" t="s">
        <v>2613</v>
      </c>
      <c r="E864" s="102" t="b">
        <v>0</v>
      </c>
      <c r="F864" s="102" t="b">
        <v>0</v>
      </c>
      <c r="G864" s="102" t="b">
        <v>0</v>
      </c>
    </row>
    <row r="865" spans="1:7" ht="15">
      <c r="A865" s="97" t="s">
        <v>2716</v>
      </c>
      <c r="B865" s="102">
        <v>2</v>
      </c>
      <c r="C865" s="118">
        <v>0.00983755164370438</v>
      </c>
      <c r="D865" s="102" t="s">
        <v>2613</v>
      </c>
      <c r="E865" s="102" t="b">
        <v>0</v>
      </c>
      <c r="F865" s="102" t="b">
        <v>0</v>
      </c>
      <c r="G865" s="102" t="b">
        <v>0</v>
      </c>
    </row>
    <row r="866" spans="1:7" ht="15">
      <c r="A866" s="97" t="s">
        <v>2839</v>
      </c>
      <c r="B866" s="102">
        <v>2</v>
      </c>
      <c r="C866" s="118">
        <v>0.00983755164370438</v>
      </c>
      <c r="D866" s="102" t="s">
        <v>2613</v>
      </c>
      <c r="E866" s="102" t="b">
        <v>0</v>
      </c>
      <c r="F866" s="102" t="b">
        <v>0</v>
      </c>
      <c r="G866" s="102" t="b">
        <v>0</v>
      </c>
    </row>
    <row r="867" spans="1:7" ht="15">
      <c r="A867" s="97" t="s">
        <v>3065</v>
      </c>
      <c r="B867" s="102">
        <v>2</v>
      </c>
      <c r="C867" s="118">
        <v>0.00983755164370438</v>
      </c>
      <c r="D867" s="102" t="s">
        <v>2613</v>
      </c>
      <c r="E867" s="102" t="b">
        <v>0</v>
      </c>
      <c r="F867" s="102" t="b">
        <v>0</v>
      </c>
      <c r="G867" s="102" t="b">
        <v>0</v>
      </c>
    </row>
    <row r="868" spans="1:7" ht="15">
      <c r="A868" s="97" t="s">
        <v>2777</v>
      </c>
      <c r="B868" s="102">
        <v>2</v>
      </c>
      <c r="C868" s="118">
        <v>0.00983755164370438</v>
      </c>
      <c r="D868" s="102" t="s">
        <v>2613</v>
      </c>
      <c r="E868" s="102" t="b">
        <v>0</v>
      </c>
      <c r="F868" s="102" t="b">
        <v>0</v>
      </c>
      <c r="G868" s="102" t="b">
        <v>0</v>
      </c>
    </row>
    <row r="869" spans="1:7" ht="15">
      <c r="A869" s="97" t="s">
        <v>3066</v>
      </c>
      <c r="B869" s="102">
        <v>2</v>
      </c>
      <c r="C869" s="118">
        <v>0.00983755164370438</v>
      </c>
      <c r="D869" s="102" t="s">
        <v>2613</v>
      </c>
      <c r="E869" s="102" t="b">
        <v>0</v>
      </c>
      <c r="F869" s="102" t="b">
        <v>0</v>
      </c>
      <c r="G869" s="102" t="b">
        <v>0</v>
      </c>
    </row>
    <row r="870" spans="1:7" ht="15">
      <c r="A870" s="97" t="s">
        <v>2789</v>
      </c>
      <c r="B870" s="102">
        <v>2</v>
      </c>
      <c r="C870" s="118">
        <v>0.00983755164370438</v>
      </c>
      <c r="D870" s="102" t="s">
        <v>2613</v>
      </c>
      <c r="E870" s="102" t="b">
        <v>0</v>
      </c>
      <c r="F870" s="102" t="b">
        <v>0</v>
      </c>
      <c r="G870" s="102" t="b">
        <v>0</v>
      </c>
    </row>
    <row r="871" spans="1:7" ht="15">
      <c r="A871" s="97" t="s">
        <v>3067</v>
      </c>
      <c r="B871" s="102">
        <v>2</v>
      </c>
      <c r="C871" s="118">
        <v>0.00983755164370438</v>
      </c>
      <c r="D871" s="102" t="s">
        <v>2613</v>
      </c>
      <c r="E871" s="102" t="b">
        <v>0</v>
      </c>
      <c r="F871" s="102" t="b">
        <v>0</v>
      </c>
      <c r="G871" s="102" t="b">
        <v>0</v>
      </c>
    </row>
    <row r="872" spans="1:7" ht="15">
      <c r="A872" s="97" t="s">
        <v>3068</v>
      </c>
      <c r="B872" s="102">
        <v>2</v>
      </c>
      <c r="C872" s="118">
        <v>0.00983755164370438</v>
      </c>
      <c r="D872" s="102" t="s">
        <v>2613</v>
      </c>
      <c r="E872" s="102" t="b">
        <v>0</v>
      </c>
      <c r="F872" s="102" t="b">
        <v>0</v>
      </c>
      <c r="G872" s="102" t="b">
        <v>0</v>
      </c>
    </row>
    <row r="873" spans="1:7" ht="15">
      <c r="A873" s="97" t="s">
        <v>389</v>
      </c>
      <c r="B873" s="102">
        <v>2</v>
      </c>
      <c r="C873" s="118">
        <v>0.00983755164370438</v>
      </c>
      <c r="D873" s="102" t="s">
        <v>2613</v>
      </c>
      <c r="E873" s="102" t="b">
        <v>0</v>
      </c>
      <c r="F873" s="102" t="b">
        <v>0</v>
      </c>
      <c r="G873" s="102" t="b">
        <v>0</v>
      </c>
    </row>
    <row r="874" spans="1:7" ht="15">
      <c r="A874" s="97" t="s">
        <v>387</v>
      </c>
      <c r="B874" s="102">
        <v>2</v>
      </c>
      <c r="C874" s="118">
        <v>0.00983755164370438</v>
      </c>
      <c r="D874" s="102" t="s">
        <v>2613</v>
      </c>
      <c r="E874" s="102" t="b">
        <v>0</v>
      </c>
      <c r="F874" s="102" t="b">
        <v>0</v>
      </c>
      <c r="G874" s="102" t="b">
        <v>0</v>
      </c>
    </row>
    <row r="875" spans="1:7" ht="15">
      <c r="A875" s="97" t="s">
        <v>3090</v>
      </c>
      <c r="B875" s="102">
        <v>2</v>
      </c>
      <c r="C875" s="118">
        <v>0.01604435567801327</v>
      </c>
      <c r="D875" s="102" t="s">
        <v>2613</v>
      </c>
      <c r="E875" s="102" t="b">
        <v>0</v>
      </c>
      <c r="F875" s="102" t="b">
        <v>0</v>
      </c>
      <c r="G875" s="102" t="b">
        <v>0</v>
      </c>
    </row>
    <row r="876" spans="1:7" ht="15">
      <c r="A876" s="97" t="s">
        <v>712</v>
      </c>
      <c r="B876" s="102">
        <v>6</v>
      </c>
      <c r="C876" s="118">
        <v>0</v>
      </c>
      <c r="D876" s="102" t="s">
        <v>2614</v>
      </c>
      <c r="E876" s="102" t="b">
        <v>0</v>
      </c>
      <c r="F876" s="102" t="b">
        <v>0</v>
      </c>
      <c r="G876" s="102" t="b">
        <v>0</v>
      </c>
    </row>
    <row r="877" spans="1:7" ht="15">
      <c r="A877" s="97" t="s">
        <v>421</v>
      </c>
      <c r="B877" s="102">
        <v>3</v>
      </c>
      <c r="C877" s="118">
        <v>0.008440093336373305</v>
      </c>
      <c r="D877" s="102" t="s">
        <v>2614</v>
      </c>
      <c r="E877" s="102" t="b">
        <v>0</v>
      </c>
      <c r="F877" s="102" t="b">
        <v>0</v>
      </c>
      <c r="G877" s="102" t="b">
        <v>0</v>
      </c>
    </row>
    <row r="878" spans="1:7" ht="15">
      <c r="A878" s="97" t="s">
        <v>422</v>
      </c>
      <c r="B878" s="102">
        <v>3</v>
      </c>
      <c r="C878" s="118">
        <v>0.008440093336373305</v>
      </c>
      <c r="D878" s="102" t="s">
        <v>2614</v>
      </c>
      <c r="E878" s="102" t="b">
        <v>0</v>
      </c>
      <c r="F878" s="102" t="b">
        <v>0</v>
      </c>
      <c r="G878" s="102" t="b">
        <v>0</v>
      </c>
    </row>
    <row r="879" spans="1:7" ht="15">
      <c r="A879" s="97" t="s">
        <v>420</v>
      </c>
      <c r="B879" s="102">
        <v>3</v>
      </c>
      <c r="C879" s="118">
        <v>0.008440093336373305</v>
      </c>
      <c r="D879" s="102" t="s">
        <v>2614</v>
      </c>
      <c r="E879" s="102" t="b">
        <v>0</v>
      </c>
      <c r="F879" s="102" t="b">
        <v>0</v>
      </c>
      <c r="G879" s="102" t="b">
        <v>0</v>
      </c>
    </row>
    <row r="880" spans="1:7" ht="15">
      <c r="A880" s="97" t="s">
        <v>2732</v>
      </c>
      <c r="B880" s="102">
        <v>3</v>
      </c>
      <c r="C880" s="118">
        <v>0.008440093336373305</v>
      </c>
      <c r="D880" s="102" t="s">
        <v>2614</v>
      </c>
      <c r="E880" s="102" t="b">
        <v>0</v>
      </c>
      <c r="F880" s="102" t="b">
        <v>0</v>
      </c>
      <c r="G880" s="102" t="b">
        <v>0</v>
      </c>
    </row>
    <row r="881" spans="1:7" ht="15">
      <c r="A881" s="97" t="s">
        <v>2713</v>
      </c>
      <c r="B881" s="102">
        <v>2</v>
      </c>
      <c r="C881" s="118">
        <v>0.008918154293825465</v>
      </c>
      <c r="D881" s="102" t="s">
        <v>2614</v>
      </c>
      <c r="E881" s="102" t="b">
        <v>0</v>
      </c>
      <c r="F881" s="102" t="b">
        <v>0</v>
      </c>
      <c r="G881" s="102" t="b">
        <v>0</v>
      </c>
    </row>
    <row r="882" spans="1:7" ht="15">
      <c r="A882" s="97" t="s">
        <v>2779</v>
      </c>
      <c r="B882" s="102">
        <v>2</v>
      </c>
      <c r="C882" s="118">
        <v>0.014544883184741002</v>
      </c>
      <c r="D882" s="102" t="s">
        <v>2614</v>
      </c>
      <c r="E882" s="102" t="b">
        <v>0</v>
      </c>
      <c r="F882" s="102" t="b">
        <v>0</v>
      </c>
      <c r="G882" s="102" t="b">
        <v>0</v>
      </c>
    </row>
    <row r="883" spans="1:7" ht="15">
      <c r="A883" s="97" t="s">
        <v>3051</v>
      </c>
      <c r="B883" s="102">
        <v>2</v>
      </c>
      <c r="C883" s="118">
        <v>0.008918154293825465</v>
      </c>
      <c r="D883" s="102" t="s">
        <v>2614</v>
      </c>
      <c r="E883" s="102" t="b">
        <v>0</v>
      </c>
      <c r="F883" s="102" t="b">
        <v>0</v>
      </c>
      <c r="G883" s="102" t="b">
        <v>0</v>
      </c>
    </row>
    <row r="884" spans="1:7" ht="15">
      <c r="A884" s="97" t="s">
        <v>2912</v>
      </c>
      <c r="B884" s="102">
        <v>2</v>
      </c>
      <c r="C884" s="118">
        <v>0.008918154293825465</v>
      </c>
      <c r="D884" s="102" t="s">
        <v>2614</v>
      </c>
      <c r="E884" s="102" t="b">
        <v>0</v>
      </c>
      <c r="F884" s="102" t="b">
        <v>0</v>
      </c>
      <c r="G884" s="102" t="b">
        <v>0</v>
      </c>
    </row>
    <row r="885" spans="1:7" ht="15">
      <c r="A885" s="97" t="s">
        <v>2706</v>
      </c>
      <c r="B885" s="102">
        <v>2</v>
      </c>
      <c r="C885" s="118">
        <v>0.008918154293825465</v>
      </c>
      <c r="D885" s="102" t="s">
        <v>2614</v>
      </c>
      <c r="E885" s="102" t="b">
        <v>0</v>
      </c>
      <c r="F885" s="102" t="b">
        <v>0</v>
      </c>
      <c r="G885" s="102" t="b">
        <v>0</v>
      </c>
    </row>
    <row r="886" spans="1:7" ht="15">
      <c r="A886" s="97" t="s">
        <v>3050</v>
      </c>
      <c r="B886" s="102">
        <v>2</v>
      </c>
      <c r="C886" s="118">
        <v>0.014544883184741002</v>
      </c>
      <c r="D886" s="102" t="s">
        <v>2614</v>
      </c>
      <c r="E886" s="102" t="b">
        <v>0</v>
      </c>
      <c r="F886" s="102" t="b">
        <v>0</v>
      </c>
      <c r="G886" s="102" t="b">
        <v>0</v>
      </c>
    </row>
    <row r="887" spans="1:7" ht="15">
      <c r="A887" s="97" t="s">
        <v>2708</v>
      </c>
      <c r="B887" s="102">
        <v>2</v>
      </c>
      <c r="C887" s="118">
        <v>0.014544883184741002</v>
      </c>
      <c r="D887" s="102" t="s">
        <v>2614</v>
      </c>
      <c r="E887" s="102" t="b">
        <v>0</v>
      </c>
      <c r="F887" s="102" t="b">
        <v>0</v>
      </c>
      <c r="G887" s="102" t="b">
        <v>0</v>
      </c>
    </row>
    <row r="888" spans="1:7" ht="15">
      <c r="A888" s="97" t="s">
        <v>2731</v>
      </c>
      <c r="B888" s="102">
        <v>2</v>
      </c>
      <c r="C888" s="118">
        <v>0.008918154293825465</v>
      </c>
      <c r="D888" s="102" t="s">
        <v>2614</v>
      </c>
      <c r="E888" s="102" t="b">
        <v>0</v>
      </c>
      <c r="F888" s="102" t="b">
        <v>0</v>
      </c>
      <c r="G888" s="102" t="b">
        <v>0</v>
      </c>
    </row>
    <row r="889" spans="1:7" ht="15">
      <c r="A889" s="97" t="s">
        <v>3049</v>
      </c>
      <c r="B889" s="102">
        <v>2</v>
      </c>
      <c r="C889" s="118">
        <v>0.008918154293825465</v>
      </c>
      <c r="D889" s="102" t="s">
        <v>2614</v>
      </c>
      <c r="E889" s="102" t="b">
        <v>0</v>
      </c>
      <c r="F889" s="102" t="b">
        <v>0</v>
      </c>
      <c r="G889" s="102" t="b">
        <v>0</v>
      </c>
    </row>
    <row r="890" spans="1:7" ht="15">
      <c r="A890" s="97" t="s">
        <v>3048</v>
      </c>
      <c r="B890" s="102">
        <v>2</v>
      </c>
      <c r="C890" s="118">
        <v>0.014544883184741002</v>
      </c>
      <c r="D890" s="102" t="s">
        <v>2614</v>
      </c>
      <c r="E890" s="102" t="b">
        <v>0</v>
      </c>
      <c r="F890" s="102" t="b">
        <v>0</v>
      </c>
      <c r="G890" s="102" t="b">
        <v>0</v>
      </c>
    </row>
    <row r="891" spans="1:7" ht="15">
      <c r="A891" s="97" t="s">
        <v>399</v>
      </c>
      <c r="B891" s="102">
        <v>6</v>
      </c>
      <c r="C891" s="118">
        <v>0.003020155923185559</v>
      </c>
      <c r="D891" s="102" t="s">
        <v>2615</v>
      </c>
      <c r="E891" s="102" t="b">
        <v>0</v>
      </c>
      <c r="F891" s="102" t="b">
        <v>0</v>
      </c>
      <c r="G891" s="102" t="b">
        <v>0</v>
      </c>
    </row>
    <row r="892" spans="1:7" ht="15">
      <c r="A892" s="97" t="s">
        <v>712</v>
      </c>
      <c r="B892" s="102">
        <v>6</v>
      </c>
      <c r="C892" s="118">
        <v>0.003020155923185559</v>
      </c>
      <c r="D892" s="102" t="s">
        <v>2615</v>
      </c>
      <c r="E892" s="102" t="b">
        <v>0</v>
      </c>
      <c r="F892" s="102" t="b">
        <v>0</v>
      </c>
      <c r="G892" s="102" t="b">
        <v>0</v>
      </c>
    </row>
    <row r="893" spans="1:7" ht="15">
      <c r="A893" s="97" t="s">
        <v>397</v>
      </c>
      <c r="B893" s="102">
        <v>5</v>
      </c>
      <c r="C893" s="118">
        <v>0.009136768747605054</v>
      </c>
      <c r="D893" s="102" t="s">
        <v>2615</v>
      </c>
      <c r="E893" s="102" t="b">
        <v>0</v>
      </c>
      <c r="F893" s="102" t="b">
        <v>0</v>
      </c>
      <c r="G893" s="102" t="b">
        <v>0</v>
      </c>
    </row>
    <row r="894" spans="1:7" ht="15">
      <c r="A894" s="97" t="s">
        <v>398</v>
      </c>
      <c r="B894" s="102">
        <v>4</v>
      </c>
      <c r="C894" s="118">
        <v>0.007309414998084043</v>
      </c>
      <c r="D894" s="102" t="s">
        <v>2615</v>
      </c>
      <c r="E894" s="102" t="b">
        <v>0</v>
      </c>
      <c r="F894" s="102" t="b">
        <v>0</v>
      </c>
      <c r="G894" s="102" t="b">
        <v>0</v>
      </c>
    </row>
    <row r="895" spans="1:7" ht="15">
      <c r="A895" s="97" t="s">
        <v>396</v>
      </c>
      <c r="B895" s="102">
        <v>4</v>
      </c>
      <c r="C895" s="118">
        <v>0.007309414998084043</v>
      </c>
      <c r="D895" s="102" t="s">
        <v>2615</v>
      </c>
      <c r="E895" s="102" t="b">
        <v>0</v>
      </c>
      <c r="F895" s="102" t="b">
        <v>0</v>
      </c>
      <c r="G895" s="102" t="b">
        <v>0</v>
      </c>
    </row>
    <row r="896" spans="1:7" ht="15">
      <c r="A896" s="97" t="s">
        <v>271</v>
      </c>
      <c r="B896" s="102">
        <v>4</v>
      </c>
      <c r="C896" s="118">
        <v>0.007309414998084043</v>
      </c>
      <c r="D896" s="102" t="s">
        <v>2615</v>
      </c>
      <c r="E896" s="102" t="b">
        <v>0</v>
      </c>
      <c r="F896" s="102" t="b">
        <v>0</v>
      </c>
      <c r="G896" s="102" t="b">
        <v>0</v>
      </c>
    </row>
    <row r="897" spans="1:7" ht="15">
      <c r="A897" s="97" t="s">
        <v>2711</v>
      </c>
      <c r="B897" s="102">
        <v>3</v>
      </c>
      <c r="C897" s="118">
        <v>0.008300228239727694</v>
      </c>
      <c r="D897" s="102" t="s">
        <v>2615</v>
      </c>
      <c r="E897" s="102" t="b">
        <v>0</v>
      </c>
      <c r="F897" s="102" t="b">
        <v>0</v>
      </c>
      <c r="G897" s="102" t="b">
        <v>0</v>
      </c>
    </row>
    <row r="898" spans="1:7" ht="15">
      <c r="A898" s="97" t="s">
        <v>2673</v>
      </c>
      <c r="B898" s="102">
        <v>2</v>
      </c>
      <c r="C898" s="118">
        <v>0.008181474351131965</v>
      </c>
      <c r="D898" s="102" t="s">
        <v>2615</v>
      </c>
      <c r="E898" s="102" t="b">
        <v>0</v>
      </c>
      <c r="F898" s="102" t="b">
        <v>0</v>
      </c>
      <c r="G898" s="102" t="b">
        <v>0</v>
      </c>
    </row>
    <row r="899" spans="1:7" ht="15">
      <c r="A899" s="97" t="s">
        <v>2949</v>
      </c>
      <c r="B899" s="102">
        <v>2</v>
      </c>
      <c r="C899" s="118">
        <v>0.008181474351131965</v>
      </c>
      <c r="D899" s="102" t="s">
        <v>2615</v>
      </c>
      <c r="E899" s="102" t="b">
        <v>0</v>
      </c>
      <c r="F899" s="102" t="b">
        <v>0</v>
      </c>
      <c r="G899" s="102" t="b">
        <v>0</v>
      </c>
    </row>
    <row r="900" spans="1:7" ht="15">
      <c r="A900" s="97" t="s">
        <v>2950</v>
      </c>
      <c r="B900" s="102">
        <v>2</v>
      </c>
      <c r="C900" s="118">
        <v>0.008181474351131965</v>
      </c>
      <c r="D900" s="102" t="s">
        <v>2615</v>
      </c>
      <c r="E900" s="102" t="b">
        <v>0</v>
      </c>
      <c r="F900" s="102" t="b">
        <v>0</v>
      </c>
      <c r="G900" s="102" t="b">
        <v>0</v>
      </c>
    </row>
    <row r="901" spans="1:7" ht="15">
      <c r="A901" s="97" t="s">
        <v>2951</v>
      </c>
      <c r="B901" s="102">
        <v>2</v>
      </c>
      <c r="C901" s="118">
        <v>0.008181474351131965</v>
      </c>
      <c r="D901" s="102" t="s">
        <v>2615</v>
      </c>
      <c r="E901" s="102" t="b">
        <v>0</v>
      </c>
      <c r="F901" s="102" t="b">
        <v>0</v>
      </c>
      <c r="G901" s="102" t="b">
        <v>0</v>
      </c>
    </row>
    <row r="902" spans="1:7" ht="15">
      <c r="A902" s="97" t="s">
        <v>2952</v>
      </c>
      <c r="B902" s="102">
        <v>2</v>
      </c>
      <c r="C902" s="118">
        <v>0.008181474351131965</v>
      </c>
      <c r="D902" s="102" t="s">
        <v>2615</v>
      </c>
      <c r="E902" s="102" t="b">
        <v>0</v>
      </c>
      <c r="F902" s="102" t="b">
        <v>0</v>
      </c>
      <c r="G902" s="102" t="b">
        <v>0</v>
      </c>
    </row>
    <row r="903" spans="1:7" ht="15">
      <c r="A903" s="97" t="s">
        <v>248</v>
      </c>
      <c r="B903" s="102">
        <v>2</v>
      </c>
      <c r="C903" s="118">
        <v>0.008181474351131965</v>
      </c>
      <c r="D903" s="102" t="s">
        <v>2615</v>
      </c>
      <c r="E903" s="102" t="b">
        <v>0</v>
      </c>
      <c r="F903" s="102" t="b">
        <v>0</v>
      </c>
      <c r="G903" s="102" t="b">
        <v>0</v>
      </c>
    </row>
    <row r="904" spans="1:7" ht="15">
      <c r="A904" s="97" t="s">
        <v>2737</v>
      </c>
      <c r="B904" s="102">
        <v>2</v>
      </c>
      <c r="C904" s="118">
        <v>0.008181474351131965</v>
      </c>
      <c r="D904" s="102" t="s">
        <v>2615</v>
      </c>
      <c r="E904" s="102" t="b">
        <v>0</v>
      </c>
      <c r="F904" s="102" t="b">
        <v>0</v>
      </c>
      <c r="G904" s="102" t="b">
        <v>0</v>
      </c>
    </row>
    <row r="905" spans="1:7" ht="15">
      <c r="A905" s="97" t="s">
        <v>2681</v>
      </c>
      <c r="B905" s="102">
        <v>2</v>
      </c>
      <c r="C905" s="118">
        <v>0.008181474351131965</v>
      </c>
      <c r="D905" s="102" t="s">
        <v>2615</v>
      </c>
      <c r="E905" s="102" t="b">
        <v>0</v>
      </c>
      <c r="F905" s="102" t="b">
        <v>0</v>
      </c>
      <c r="G905" s="102" t="b">
        <v>0</v>
      </c>
    </row>
    <row r="906" spans="1:7" ht="15">
      <c r="A906" s="97" t="s">
        <v>3059</v>
      </c>
      <c r="B906" s="102">
        <v>2</v>
      </c>
      <c r="C906" s="118">
        <v>0.012708241203221907</v>
      </c>
      <c r="D906" s="102" t="s">
        <v>2615</v>
      </c>
      <c r="E906" s="102" t="b">
        <v>0</v>
      </c>
      <c r="F906" s="102" t="b">
        <v>0</v>
      </c>
      <c r="G906" s="102" t="b">
        <v>0</v>
      </c>
    </row>
    <row r="907" spans="1:7" ht="15">
      <c r="A907" s="97" t="s">
        <v>2763</v>
      </c>
      <c r="B907" s="102">
        <v>2</v>
      </c>
      <c r="C907" s="118">
        <v>0.012708241203221907</v>
      </c>
      <c r="D907" s="102" t="s">
        <v>2615</v>
      </c>
      <c r="E907" s="102" t="b">
        <v>0</v>
      </c>
      <c r="F907" s="102" t="b">
        <v>0</v>
      </c>
      <c r="G907" s="102" t="b">
        <v>0</v>
      </c>
    </row>
    <row r="908" spans="1:7" ht="15">
      <c r="A908" s="97" t="s">
        <v>249</v>
      </c>
      <c r="B908" s="102">
        <v>2</v>
      </c>
      <c r="C908" s="118">
        <v>0.008181474351131965</v>
      </c>
      <c r="D908" s="102" t="s">
        <v>2615</v>
      </c>
      <c r="E908" s="102" t="b">
        <v>0</v>
      </c>
      <c r="F908" s="102" t="b">
        <v>0</v>
      </c>
      <c r="G908" s="102" t="b">
        <v>0</v>
      </c>
    </row>
    <row r="909" spans="1:7" ht="15">
      <c r="A909" s="97" t="s">
        <v>3061</v>
      </c>
      <c r="B909" s="102">
        <v>2</v>
      </c>
      <c r="C909" s="118">
        <v>0.012708241203221907</v>
      </c>
      <c r="D909" s="102" t="s">
        <v>2615</v>
      </c>
      <c r="E909" s="102" t="b">
        <v>0</v>
      </c>
      <c r="F909" s="102" t="b">
        <v>0</v>
      </c>
      <c r="G909" s="102" t="b">
        <v>0</v>
      </c>
    </row>
    <row r="910" spans="1:7" ht="15">
      <c r="A910" s="97" t="s">
        <v>712</v>
      </c>
      <c r="B910" s="102">
        <v>6</v>
      </c>
      <c r="C910" s="118">
        <v>0</v>
      </c>
      <c r="D910" s="102" t="s">
        <v>2616</v>
      </c>
      <c r="E910" s="102" t="b">
        <v>0</v>
      </c>
      <c r="F910" s="102" t="b">
        <v>0</v>
      </c>
      <c r="G910" s="102" t="b">
        <v>0</v>
      </c>
    </row>
    <row r="911" spans="1:7" ht="15">
      <c r="A911" s="97" t="s">
        <v>2752</v>
      </c>
      <c r="B911" s="102">
        <v>3</v>
      </c>
      <c r="C911" s="118">
        <v>0.011450910113271899</v>
      </c>
      <c r="D911" s="102" t="s">
        <v>2616</v>
      </c>
      <c r="E911" s="102" t="b">
        <v>0</v>
      </c>
      <c r="F911" s="102" t="b">
        <v>0</v>
      </c>
      <c r="G911" s="102" t="b">
        <v>0</v>
      </c>
    </row>
    <row r="912" spans="1:7" ht="15">
      <c r="A912" s="97" t="s">
        <v>2913</v>
      </c>
      <c r="B912" s="102">
        <v>3</v>
      </c>
      <c r="C912" s="118">
        <v>0.007224719895935549</v>
      </c>
      <c r="D912" s="102" t="s">
        <v>2616</v>
      </c>
      <c r="E912" s="102" t="b">
        <v>0</v>
      </c>
      <c r="F912" s="102" t="b">
        <v>0</v>
      </c>
      <c r="G912" s="102" t="b">
        <v>0</v>
      </c>
    </row>
    <row r="913" spans="1:7" ht="15">
      <c r="A913" s="97" t="s">
        <v>2914</v>
      </c>
      <c r="B913" s="102">
        <v>3</v>
      </c>
      <c r="C913" s="118">
        <v>0.007224719895935549</v>
      </c>
      <c r="D913" s="102" t="s">
        <v>2616</v>
      </c>
      <c r="E913" s="102" t="b">
        <v>0</v>
      </c>
      <c r="F913" s="102" t="b">
        <v>0</v>
      </c>
      <c r="G913" s="102" t="b">
        <v>0</v>
      </c>
    </row>
    <row r="914" spans="1:7" ht="15">
      <c r="A914" s="97" t="s">
        <v>2808</v>
      </c>
      <c r="B914" s="102">
        <v>3</v>
      </c>
      <c r="C914" s="118">
        <v>0.007224719895935549</v>
      </c>
      <c r="D914" s="102" t="s">
        <v>2616</v>
      </c>
      <c r="E914" s="102" t="b">
        <v>0</v>
      </c>
      <c r="F914" s="102" t="b">
        <v>0</v>
      </c>
      <c r="G914" s="102" t="b">
        <v>0</v>
      </c>
    </row>
    <row r="915" spans="1:7" ht="15">
      <c r="A915" s="97" t="s">
        <v>2915</v>
      </c>
      <c r="B915" s="102">
        <v>3</v>
      </c>
      <c r="C915" s="118">
        <v>0.007224719895935549</v>
      </c>
      <c r="D915" s="102" t="s">
        <v>2616</v>
      </c>
      <c r="E915" s="102" t="b">
        <v>0</v>
      </c>
      <c r="F915" s="102" t="b">
        <v>0</v>
      </c>
      <c r="G915" s="102" t="b">
        <v>0</v>
      </c>
    </row>
    <row r="916" spans="1:7" ht="15">
      <c r="A916" s="97" t="s">
        <v>2916</v>
      </c>
      <c r="B916" s="102">
        <v>3</v>
      </c>
      <c r="C916" s="118">
        <v>0.007224719895935549</v>
      </c>
      <c r="D916" s="102" t="s">
        <v>2616</v>
      </c>
      <c r="E916" s="102" t="b">
        <v>0</v>
      </c>
      <c r="F916" s="102" t="b">
        <v>0</v>
      </c>
      <c r="G916" s="102" t="b">
        <v>0</v>
      </c>
    </row>
    <row r="917" spans="1:7" ht="15">
      <c r="A917" s="97" t="s">
        <v>2740</v>
      </c>
      <c r="B917" s="102">
        <v>3</v>
      </c>
      <c r="C917" s="118">
        <v>0.007224719895935549</v>
      </c>
      <c r="D917" s="102" t="s">
        <v>2616</v>
      </c>
      <c r="E917" s="102" t="b">
        <v>0</v>
      </c>
      <c r="F917" s="102" t="b">
        <v>0</v>
      </c>
      <c r="G917" s="102" t="b">
        <v>0</v>
      </c>
    </row>
    <row r="918" spans="1:7" ht="15">
      <c r="A918" s="97" t="s">
        <v>2917</v>
      </c>
      <c r="B918" s="102">
        <v>3</v>
      </c>
      <c r="C918" s="118">
        <v>0.007224719895935549</v>
      </c>
      <c r="D918" s="102" t="s">
        <v>2616</v>
      </c>
      <c r="E918" s="102" t="b">
        <v>0</v>
      </c>
      <c r="F918" s="102" t="b">
        <v>0</v>
      </c>
      <c r="G918" s="102" t="b">
        <v>0</v>
      </c>
    </row>
    <row r="919" spans="1:7" ht="15">
      <c r="A919" s="97" t="s">
        <v>2918</v>
      </c>
      <c r="B919" s="102">
        <v>3</v>
      </c>
      <c r="C919" s="118">
        <v>0.007224719895935549</v>
      </c>
      <c r="D919" s="102" t="s">
        <v>2616</v>
      </c>
      <c r="E919" s="102" t="b">
        <v>0</v>
      </c>
      <c r="F919" s="102" t="b">
        <v>0</v>
      </c>
      <c r="G919" s="102" t="b">
        <v>0</v>
      </c>
    </row>
    <row r="920" spans="1:7" ht="15">
      <c r="A920" s="97" t="s">
        <v>2919</v>
      </c>
      <c r="B920" s="102">
        <v>3</v>
      </c>
      <c r="C920" s="118">
        <v>0.007224719895935549</v>
      </c>
      <c r="D920" s="102" t="s">
        <v>2616</v>
      </c>
      <c r="E920" s="102" t="b">
        <v>0</v>
      </c>
      <c r="F920" s="102" t="b">
        <v>0</v>
      </c>
      <c r="G920" s="102" t="b">
        <v>0</v>
      </c>
    </row>
    <row r="921" spans="1:7" ht="15">
      <c r="A921" s="97" t="s">
        <v>2920</v>
      </c>
      <c r="B921" s="102">
        <v>3</v>
      </c>
      <c r="C921" s="118">
        <v>0.007224719895935549</v>
      </c>
      <c r="D921" s="102" t="s">
        <v>2616</v>
      </c>
      <c r="E921" s="102" t="b">
        <v>0</v>
      </c>
      <c r="F921" s="102" t="b">
        <v>0</v>
      </c>
      <c r="G921" s="102" t="b">
        <v>0</v>
      </c>
    </row>
    <row r="922" spans="1:7" ht="15">
      <c r="A922" s="97" t="s">
        <v>2921</v>
      </c>
      <c r="B922" s="102">
        <v>3</v>
      </c>
      <c r="C922" s="118">
        <v>0.007224719895935549</v>
      </c>
      <c r="D922" s="102" t="s">
        <v>2616</v>
      </c>
      <c r="E922" s="102" t="b">
        <v>0</v>
      </c>
      <c r="F922" s="102" t="b">
        <v>0</v>
      </c>
      <c r="G922" s="102" t="b">
        <v>0</v>
      </c>
    </row>
    <row r="923" spans="1:7" ht="15">
      <c r="A923" s="97" t="s">
        <v>2922</v>
      </c>
      <c r="B923" s="102">
        <v>3</v>
      </c>
      <c r="C923" s="118">
        <v>0.007224719895935549</v>
      </c>
      <c r="D923" s="102" t="s">
        <v>2616</v>
      </c>
      <c r="E923" s="102" t="b">
        <v>0</v>
      </c>
      <c r="F923" s="102" t="b">
        <v>0</v>
      </c>
      <c r="G923" s="102" t="b">
        <v>0</v>
      </c>
    </row>
    <row r="924" spans="1:7" ht="15">
      <c r="A924" s="97" t="s">
        <v>2923</v>
      </c>
      <c r="B924" s="102">
        <v>3</v>
      </c>
      <c r="C924" s="118">
        <v>0.007224719895935549</v>
      </c>
      <c r="D924" s="102" t="s">
        <v>2616</v>
      </c>
      <c r="E924" s="102" t="b">
        <v>0</v>
      </c>
      <c r="F924" s="102" t="b">
        <v>0</v>
      </c>
      <c r="G924" s="102" t="b">
        <v>0</v>
      </c>
    </row>
    <row r="925" spans="1:7" ht="15">
      <c r="A925" s="97" t="s">
        <v>2924</v>
      </c>
      <c r="B925" s="102">
        <v>3</v>
      </c>
      <c r="C925" s="118">
        <v>0.007224719895935549</v>
      </c>
      <c r="D925" s="102" t="s">
        <v>2616</v>
      </c>
      <c r="E925" s="102" t="b">
        <v>0</v>
      </c>
      <c r="F925" s="102" t="b">
        <v>0</v>
      </c>
      <c r="G925" s="102" t="b">
        <v>0</v>
      </c>
    </row>
    <row r="926" spans="1:7" ht="15">
      <c r="A926" s="97" t="s">
        <v>2925</v>
      </c>
      <c r="B926" s="102">
        <v>3</v>
      </c>
      <c r="C926" s="118">
        <v>0.007224719895935549</v>
      </c>
      <c r="D926" s="102" t="s">
        <v>2616</v>
      </c>
      <c r="E926" s="102" t="b">
        <v>0</v>
      </c>
      <c r="F926" s="102" t="b">
        <v>0</v>
      </c>
      <c r="G926" s="102" t="b">
        <v>0</v>
      </c>
    </row>
    <row r="927" spans="1:7" ht="15">
      <c r="A927" s="97" t="s">
        <v>2926</v>
      </c>
      <c r="B927" s="102">
        <v>3</v>
      </c>
      <c r="C927" s="118">
        <v>0.007224719895935549</v>
      </c>
      <c r="D927" s="102" t="s">
        <v>2616</v>
      </c>
      <c r="E927" s="102" t="b">
        <v>0</v>
      </c>
      <c r="F927" s="102" t="b">
        <v>0</v>
      </c>
      <c r="G927" s="102" t="b">
        <v>0</v>
      </c>
    </row>
    <row r="928" spans="1:7" ht="15">
      <c r="A928" s="97" t="s">
        <v>386</v>
      </c>
      <c r="B928" s="102">
        <v>3</v>
      </c>
      <c r="C928" s="118">
        <v>0.007224719895935549</v>
      </c>
      <c r="D928" s="102" t="s">
        <v>2616</v>
      </c>
      <c r="E928" s="102" t="b">
        <v>0</v>
      </c>
      <c r="F928" s="102" t="b">
        <v>0</v>
      </c>
      <c r="G928" s="102" t="b">
        <v>0</v>
      </c>
    </row>
    <row r="929" spans="1:7" ht="15">
      <c r="A929" s="97" t="s">
        <v>2927</v>
      </c>
      <c r="B929" s="102">
        <v>3</v>
      </c>
      <c r="C929" s="118">
        <v>0.007224719895935549</v>
      </c>
      <c r="D929" s="102" t="s">
        <v>2616</v>
      </c>
      <c r="E929" s="102" t="b">
        <v>0</v>
      </c>
      <c r="F929" s="102" t="b">
        <v>0</v>
      </c>
      <c r="G929" s="102" t="b">
        <v>0</v>
      </c>
    </row>
    <row r="930" spans="1:7" ht="15">
      <c r="A930" s="97" t="s">
        <v>2928</v>
      </c>
      <c r="B930" s="102">
        <v>3</v>
      </c>
      <c r="C930" s="118">
        <v>0.007224719895935549</v>
      </c>
      <c r="D930" s="102" t="s">
        <v>2616</v>
      </c>
      <c r="E930" s="102" t="b">
        <v>0</v>
      </c>
      <c r="F930" s="102" t="b">
        <v>0</v>
      </c>
      <c r="G930" s="102" t="b">
        <v>0</v>
      </c>
    </row>
    <row r="931" spans="1:7" ht="15">
      <c r="A931" s="97" t="s">
        <v>2929</v>
      </c>
      <c r="B931" s="102">
        <v>3</v>
      </c>
      <c r="C931" s="118">
        <v>0.007224719895935549</v>
      </c>
      <c r="D931" s="102" t="s">
        <v>2616</v>
      </c>
      <c r="E931" s="102" t="b">
        <v>0</v>
      </c>
      <c r="F931" s="102" t="b">
        <v>0</v>
      </c>
      <c r="G931" s="102" t="b">
        <v>0</v>
      </c>
    </row>
    <row r="932" spans="1:7" ht="15">
      <c r="A932" s="97" t="s">
        <v>2930</v>
      </c>
      <c r="B932" s="102">
        <v>3</v>
      </c>
      <c r="C932" s="118">
        <v>0.007224719895935549</v>
      </c>
      <c r="D932" s="102" t="s">
        <v>2616</v>
      </c>
      <c r="E932" s="102" t="b">
        <v>0</v>
      </c>
      <c r="F932" s="102" t="b">
        <v>0</v>
      </c>
      <c r="G932" s="102" t="b">
        <v>0</v>
      </c>
    </row>
    <row r="933" spans="1:7" ht="15">
      <c r="A933" s="97" t="s">
        <v>2674</v>
      </c>
      <c r="B933" s="102">
        <v>2</v>
      </c>
      <c r="C933" s="118">
        <v>0.012450420006138298</v>
      </c>
      <c r="D933" s="102" t="s">
        <v>2616</v>
      </c>
      <c r="E933" s="102" t="b">
        <v>0</v>
      </c>
      <c r="F933" s="102" t="b">
        <v>0</v>
      </c>
      <c r="G933" s="102" t="b">
        <v>0</v>
      </c>
    </row>
    <row r="934" spans="1:7" ht="15">
      <c r="A934" s="97" t="s">
        <v>2673</v>
      </c>
      <c r="B934" s="102">
        <v>2</v>
      </c>
      <c r="C934" s="118">
        <v>0.007633940075514599</v>
      </c>
      <c r="D934" s="102" t="s">
        <v>2616</v>
      </c>
      <c r="E934" s="102" t="b">
        <v>0</v>
      </c>
      <c r="F934" s="102" t="b">
        <v>0</v>
      </c>
      <c r="G934" s="102" t="b">
        <v>0</v>
      </c>
    </row>
    <row r="935" spans="1:7" ht="15">
      <c r="A935" s="97" t="s">
        <v>2982</v>
      </c>
      <c r="B935" s="102">
        <v>2</v>
      </c>
      <c r="C935" s="118">
        <v>0.012450420006138298</v>
      </c>
      <c r="D935" s="102" t="s">
        <v>2616</v>
      </c>
      <c r="E935" s="102" t="b">
        <v>0</v>
      </c>
      <c r="F935" s="102" t="b">
        <v>0</v>
      </c>
      <c r="G935" s="102" t="b">
        <v>0</v>
      </c>
    </row>
    <row r="936" spans="1:7" ht="15">
      <c r="A936" s="97" t="s">
        <v>2868</v>
      </c>
      <c r="B936" s="102">
        <v>2</v>
      </c>
      <c r="C936" s="118">
        <v>0.012450420006138298</v>
      </c>
      <c r="D936" s="102" t="s">
        <v>2616</v>
      </c>
      <c r="E936" s="102" t="b">
        <v>0</v>
      </c>
      <c r="F936" s="102" t="b">
        <v>0</v>
      </c>
      <c r="G936" s="102" t="b">
        <v>0</v>
      </c>
    </row>
    <row r="937" spans="1:7" ht="15">
      <c r="A937" s="97" t="s">
        <v>400</v>
      </c>
      <c r="B937" s="102">
        <v>4</v>
      </c>
      <c r="C937" s="118">
        <v>0</v>
      </c>
      <c r="D937" s="102" t="s">
        <v>2618</v>
      </c>
      <c r="E937" s="102" t="b">
        <v>0</v>
      </c>
      <c r="F937" s="102" t="b">
        <v>0</v>
      </c>
      <c r="G937" s="102" t="b">
        <v>0</v>
      </c>
    </row>
    <row r="938" spans="1:7" ht="15">
      <c r="A938" s="97" t="s">
        <v>712</v>
      </c>
      <c r="B938" s="102">
        <v>4</v>
      </c>
      <c r="C938" s="118">
        <v>0</v>
      </c>
      <c r="D938" s="102" t="s">
        <v>2618</v>
      </c>
      <c r="E938" s="102" t="b">
        <v>0</v>
      </c>
      <c r="F938" s="102" t="b">
        <v>0</v>
      </c>
      <c r="G938" s="102" t="b">
        <v>0</v>
      </c>
    </row>
    <row r="939" spans="1:7" ht="15">
      <c r="A939" s="97" t="s">
        <v>2844</v>
      </c>
      <c r="B939" s="102">
        <v>2</v>
      </c>
      <c r="C939" s="118">
        <v>0.024082399653118498</v>
      </c>
      <c r="D939" s="102" t="s">
        <v>2618</v>
      </c>
      <c r="E939" s="102" t="b">
        <v>0</v>
      </c>
      <c r="F939" s="102" t="b">
        <v>0</v>
      </c>
      <c r="G939" s="102" t="b">
        <v>0</v>
      </c>
    </row>
    <row r="940" spans="1:7" ht="15">
      <c r="A940" s="97" t="s">
        <v>3058</v>
      </c>
      <c r="B940" s="102">
        <v>2</v>
      </c>
      <c r="C940" s="118">
        <v>0.024082399653118498</v>
      </c>
      <c r="D940" s="102" t="s">
        <v>2618</v>
      </c>
      <c r="E940" s="102" t="b">
        <v>0</v>
      </c>
      <c r="F940" s="102" t="b">
        <v>0</v>
      </c>
      <c r="G940" s="102" t="b">
        <v>0</v>
      </c>
    </row>
    <row r="941" spans="1:7" ht="15">
      <c r="A941" s="97" t="s">
        <v>712</v>
      </c>
      <c r="B941" s="102">
        <v>3</v>
      </c>
      <c r="C941" s="118">
        <v>0</v>
      </c>
      <c r="D941" s="102" t="s">
        <v>2620</v>
      </c>
      <c r="E941" s="102" t="b">
        <v>0</v>
      </c>
      <c r="F941" s="102" t="b">
        <v>0</v>
      </c>
      <c r="G941" s="102" t="b">
        <v>0</v>
      </c>
    </row>
    <row r="942" spans="1:7" ht="15">
      <c r="A942" s="97" t="s">
        <v>3070</v>
      </c>
      <c r="B942" s="102">
        <v>2</v>
      </c>
      <c r="C942" s="118">
        <v>0.007656141698073097</v>
      </c>
      <c r="D942" s="102" t="s">
        <v>2620</v>
      </c>
      <c r="E942" s="102" t="b">
        <v>0</v>
      </c>
      <c r="F942" s="102" t="b">
        <v>0</v>
      </c>
      <c r="G942" s="102" t="b">
        <v>0</v>
      </c>
    </row>
    <row r="943" spans="1:7" ht="15">
      <c r="A943" s="97" t="s">
        <v>3071</v>
      </c>
      <c r="B943" s="102">
        <v>2</v>
      </c>
      <c r="C943" s="118">
        <v>0.007656141698073097</v>
      </c>
      <c r="D943" s="102" t="s">
        <v>2620</v>
      </c>
      <c r="E943" s="102" t="b">
        <v>0</v>
      </c>
      <c r="F943" s="102" t="b">
        <v>0</v>
      </c>
      <c r="G943" s="102" t="b">
        <v>0</v>
      </c>
    </row>
    <row r="944" spans="1:7" ht="15">
      <c r="A944" s="97" t="s">
        <v>2660</v>
      </c>
      <c r="B944" s="102">
        <v>2</v>
      </c>
      <c r="C944" s="118">
        <v>0.007656141698073097</v>
      </c>
      <c r="D944" s="102" t="s">
        <v>2620</v>
      </c>
      <c r="E944" s="102" t="b">
        <v>0</v>
      </c>
      <c r="F944" s="102" t="b">
        <v>0</v>
      </c>
      <c r="G944" s="102" t="b">
        <v>0</v>
      </c>
    </row>
    <row r="945" spans="1:7" ht="15">
      <c r="A945" s="97" t="s">
        <v>2891</v>
      </c>
      <c r="B945" s="102">
        <v>2</v>
      </c>
      <c r="C945" s="118">
        <v>0.007656141698073097</v>
      </c>
      <c r="D945" s="102" t="s">
        <v>2620</v>
      </c>
      <c r="E945" s="102" t="b">
        <v>0</v>
      </c>
      <c r="F945" s="102" t="b">
        <v>0</v>
      </c>
      <c r="G945" s="102" t="b">
        <v>0</v>
      </c>
    </row>
    <row r="946" spans="1:7" ht="15">
      <c r="A946" s="97" t="s">
        <v>3072</v>
      </c>
      <c r="B946" s="102">
        <v>2</v>
      </c>
      <c r="C946" s="118">
        <v>0.007656141698073097</v>
      </c>
      <c r="D946" s="102" t="s">
        <v>2620</v>
      </c>
      <c r="E946" s="102" t="b">
        <v>0</v>
      </c>
      <c r="F946" s="102" t="b">
        <v>0</v>
      </c>
      <c r="G946" s="102" t="b">
        <v>0</v>
      </c>
    </row>
    <row r="947" spans="1:7" ht="15">
      <c r="A947" s="97" t="s">
        <v>3073</v>
      </c>
      <c r="B947" s="102">
        <v>2</v>
      </c>
      <c r="C947" s="118">
        <v>0.007656141698073097</v>
      </c>
      <c r="D947" s="102" t="s">
        <v>2620</v>
      </c>
      <c r="E947" s="102" t="b">
        <v>0</v>
      </c>
      <c r="F947" s="102" t="b">
        <v>0</v>
      </c>
      <c r="G947" s="102" t="b">
        <v>0</v>
      </c>
    </row>
    <row r="948" spans="1:7" ht="15">
      <c r="A948" s="97" t="s">
        <v>2733</v>
      </c>
      <c r="B948" s="102">
        <v>2</v>
      </c>
      <c r="C948" s="118">
        <v>0.007656141698073097</v>
      </c>
      <c r="D948" s="102" t="s">
        <v>2620</v>
      </c>
      <c r="E948" s="102" t="b">
        <v>0</v>
      </c>
      <c r="F948" s="102" t="b">
        <v>0</v>
      </c>
      <c r="G948" s="102" t="b">
        <v>0</v>
      </c>
    </row>
    <row r="949" spans="1:7" ht="15">
      <c r="A949" s="97" t="s">
        <v>2911</v>
      </c>
      <c r="B949" s="102">
        <v>2</v>
      </c>
      <c r="C949" s="118">
        <v>0.007656141698073097</v>
      </c>
      <c r="D949" s="102" t="s">
        <v>2620</v>
      </c>
      <c r="E949" s="102" t="b">
        <v>0</v>
      </c>
      <c r="F949" s="102" t="b">
        <v>0</v>
      </c>
      <c r="G949" s="102" t="b">
        <v>0</v>
      </c>
    </row>
    <row r="950" spans="1:7" ht="15">
      <c r="A950" s="97" t="s">
        <v>2809</v>
      </c>
      <c r="B950" s="102">
        <v>2</v>
      </c>
      <c r="C950" s="118">
        <v>0.007656141698073097</v>
      </c>
      <c r="D950" s="102" t="s">
        <v>2620</v>
      </c>
      <c r="E950" s="102" t="b">
        <v>0</v>
      </c>
      <c r="F950" s="102" t="b">
        <v>0</v>
      </c>
      <c r="G950" s="102" t="b">
        <v>0</v>
      </c>
    </row>
    <row r="951" spans="1:7" ht="15">
      <c r="A951" s="97" t="s">
        <v>3074</v>
      </c>
      <c r="B951" s="102">
        <v>2</v>
      </c>
      <c r="C951" s="118">
        <v>0.007656141698073097</v>
      </c>
      <c r="D951" s="102" t="s">
        <v>2620</v>
      </c>
      <c r="E951" s="102" t="b">
        <v>0</v>
      </c>
      <c r="F951" s="102" t="b">
        <v>0</v>
      </c>
      <c r="G951" s="102" t="b">
        <v>0</v>
      </c>
    </row>
    <row r="952" spans="1:7" ht="15">
      <c r="A952" s="97" t="s">
        <v>3075</v>
      </c>
      <c r="B952" s="102">
        <v>2</v>
      </c>
      <c r="C952" s="118">
        <v>0.007656141698073097</v>
      </c>
      <c r="D952" s="102" t="s">
        <v>2620</v>
      </c>
      <c r="E952" s="102" t="b">
        <v>0</v>
      </c>
      <c r="F952" s="102" t="b">
        <v>0</v>
      </c>
      <c r="G952" s="102" t="b">
        <v>0</v>
      </c>
    </row>
    <row r="953" spans="1:7" ht="15">
      <c r="A953" s="97" t="s">
        <v>3076</v>
      </c>
      <c r="B953" s="102">
        <v>2</v>
      </c>
      <c r="C953" s="118">
        <v>0.007656141698073097</v>
      </c>
      <c r="D953" s="102" t="s">
        <v>2620</v>
      </c>
      <c r="E953" s="102" t="b">
        <v>0</v>
      </c>
      <c r="F953" s="102" t="b">
        <v>0</v>
      </c>
      <c r="G953" s="102" t="b">
        <v>0</v>
      </c>
    </row>
    <row r="954" spans="1:7" ht="15">
      <c r="A954" s="97" t="s">
        <v>2837</v>
      </c>
      <c r="B954" s="102">
        <v>2</v>
      </c>
      <c r="C954" s="118">
        <v>0.007656141698073097</v>
      </c>
      <c r="D954" s="102" t="s">
        <v>2620</v>
      </c>
      <c r="E954" s="102" t="b">
        <v>0</v>
      </c>
      <c r="F954" s="102" t="b">
        <v>0</v>
      </c>
      <c r="G954" s="102" t="b">
        <v>0</v>
      </c>
    </row>
    <row r="955" spans="1:7" ht="15">
      <c r="A955" s="97" t="s">
        <v>2740</v>
      </c>
      <c r="B955" s="102">
        <v>2</v>
      </c>
      <c r="C955" s="118">
        <v>0.007656141698073097</v>
      </c>
      <c r="D955" s="102" t="s">
        <v>2620</v>
      </c>
      <c r="E955" s="102" t="b">
        <v>0</v>
      </c>
      <c r="F955" s="102" t="b">
        <v>0</v>
      </c>
      <c r="G955" s="102" t="b">
        <v>0</v>
      </c>
    </row>
    <row r="956" spans="1:7" ht="15">
      <c r="A956" s="97" t="s">
        <v>3077</v>
      </c>
      <c r="B956" s="102">
        <v>2</v>
      </c>
      <c r="C956" s="118">
        <v>0.007656141698073097</v>
      </c>
      <c r="D956" s="102" t="s">
        <v>2620</v>
      </c>
      <c r="E956" s="102" t="b">
        <v>0</v>
      </c>
      <c r="F956" s="102" t="b">
        <v>0</v>
      </c>
      <c r="G956" s="102" t="b">
        <v>0</v>
      </c>
    </row>
    <row r="957" spans="1:7" ht="15">
      <c r="A957" s="97" t="s">
        <v>2744</v>
      </c>
      <c r="B957" s="102">
        <v>6</v>
      </c>
      <c r="C957" s="118">
        <v>0.02231439300964697</v>
      </c>
      <c r="D957" s="102" t="s">
        <v>2622</v>
      </c>
      <c r="E957" s="102" t="b">
        <v>0</v>
      </c>
      <c r="F957" s="102" t="b">
        <v>0</v>
      </c>
      <c r="G957" s="102" t="b">
        <v>0</v>
      </c>
    </row>
    <row r="958" spans="1:7" ht="15">
      <c r="A958" s="97" t="s">
        <v>712</v>
      </c>
      <c r="B958" s="102">
        <v>5</v>
      </c>
      <c r="C958" s="118">
        <v>0</v>
      </c>
      <c r="D958" s="102" t="s">
        <v>2622</v>
      </c>
      <c r="E958" s="102" t="b">
        <v>0</v>
      </c>
      <c r="F958" s="102" t="b">
        <v>0</v>
      </c>
      <c r="G958" s="102" t="b">
        <v>0</v>
      </c>
    </row>
    <row r="959" spans="1:7" ht="15">
      <c r="A959" s="97" t="s">
        <v>2810</v>
      </c>
      <c r="B959" s="102">
        <v>4</v>
      </c>
      <c r="C959" s="118">
        <v>0.014876262006431312</v>
      </c>
      <c r="D959" s="102" t="s">
        <v>2622</v>
      </c>
      <c r="E959" s="102" t="b">
        <v>0</v>
      </c>
      <c r="F959" s="102" t="b">
        <v>0</v>
      </c>
      <c r="G959" s="102" t="b">
        <v>0</v>
      </c>
    </row>
    <row r="960" spans="1:7" ht="15">
      <c r="A960" s="97" t="s">
        <v>2669</v>
      </c>
      <c r="B960" s="102">
        <v>2</v>
      </c>
      <c r="C960" s="118">
        <v>0.007438131003215656</v>
      </c>
      <c r="D960" s="102" t="s">
        <v>2622</v>
      </c>
      <c r="E960" s="102" t="b">
        <v>0</v>
      </c>
      <c r="F960" s="102" t="b">
        <v>0</v>
      </c>
      <c r="G960" s="102" t="b">
        <v>0</v>
      </c>
    </row>
    <row r="961" spans="1:7" ht="15">
      <c r="A961" s="97" t="s">
        <v>2670</v>
      </c>
      <c r="B961" s="102">
        <v>2</v>
      </c>
      <c r="C961" s="118">
        <v>0.007438131003215656</v>
      </c>
      <c r="D961" s="102" t="s">
        <v>2622</v>
      </c>
      <c r="E961" s="102" t="b">
        <v>0</v>
      </c>
      <c r="F961" s="102" t="b">
        <v>0</v>
      </c>
      <c r="G961" s="102" t="b">
        <v>0</v>
      </c>
    </row>
    <row r="962" spans="1:7" ht="15">
      <c r="A962" s="97" t="s">
        <v>2671</v>
      </c>
      <c r="B962" s="102">
        <v>2</v>
      </c>
      <c r="C962" s="118">
        <v>0.007438131003215656</v>
      </c>
      <c r="D962" s="102" t="s">
        <v>2622</v>
      </c>
      <c r="E962" s="102" t="b">
        <v>0</v>
      </c>
      <c r="F962" s="102" t="b">
        <v>0</v>
      </c>
      <c r="G962" s="102" t="b">
        <v>0</v>
      </c>
    </row>
    <row r="963" spans="1:7" ht="15">
      <c r="A963" s="97" t="s">
        <v>2666</v>
      </c>
      <c r="B963" s="102">
        <v>2</v>
      </c>
      <c r="C963" s="118">
        <v>0.007438131003215656</v>
      </c>
      <c r="D963" s="102" t="s">
        <v>2622</v>
      </c>
      <c r="E963" s="102" t="b">
        <v>0</v>
      </c>
      <c r="F963" s="102" t="b">
        <v>0</v>
      </c>
      <c r="G963" s="102" t="b">
        <v>0</v>
      </c>
    </row>
    <row r="964" spans="1:7" ht="15">
      <c r="A964" s="97" t="s">
        <v>2664</v>
      </c>
      <c r="B964" s="102">
        <v>2</v>
      </c>
      <c r="C964" s="118">
        <v>0.007438131003215656</v>
      </c>
      <c r="D964" s="102" t="s">
        <v>2622</v>
      </c>
      <c r="E964" s="102" t="b">
        <v>0</v>
      </c>
      <c r="F964" s="102" t="b">
        <v>0</v>
      </c>
      <c r="G964" s="102" t="b">
        <v>0</v>
      </c>
    </row>
    <row r="965" spans="1:7" ht="15">
      <c r="A965" s="97" t="s">
        <v>2667</v>
      </c>
      <c r="B965" s="102">
        <v>2</v>
      </c>
      <c r="C965" s="118">
        <v>0.007438131003215656</v>
      </c>
      <c r="D965" s="102" t="s">
        <v>2622</v>
      </c>
      <c r="E965" s="102" t="b">
        <v>0</v>
      </c>
      <c r="F965" s="102" t="b">
        <v>0</v>
      </c>
      <c r="G965" s="102" t="b">
        <v>0</v>
      </c>
    </row>
    <row r="966" spans="1:7" ht="15">
      <c r="A966" s="97" t="s">
        <v>2663</v>
      </c>
      <c r="B966" s="102">
        <v>2</v>
      </c>
      <c r="C966" s="118">
        <v>0.007438131003215656</v>
      </c>
      <c r="D966" s="102" t="s">
        <v>2622</v>
      </c>
      <c r="E966" s="102" t="b">
        <v>0</v>
      </c>
      <c r="F966" s="102" t="b">
        <v>0</v>
      </c>
      <c r="G966" s="102" t="b">
        <v>0</v>
      </c>
    </row>
    <row r="967" spans="1:7" ht="15">
      <c r="A967" s="97" t="s">
        <v>2668</v>
      </c>
      <c r="B967" s="102">
        <v>2</v>
      </c>
      <c r="C967" s="118">
        <v>0.007438131003215656</v>
      </c>
      <c r="D967" s="102" t="s">
        <v>2622</v>
      </c>
      <c r="E967" s="102" t="b">
        <v>0</v>
      </c>
      <c r="F967" s="102" t="b">
        <v>0</v>
      </c>
      <c r="G967" s="102" t="b">
        <v>0</v>
      </c>
    </row>
    <row r="968" spans="1:7" ht="15">
      <c r="A968" s="97" t="s">
        <v>2672</v>
      </c>
      <c r="B968" s="102">
        <v>2</v>
      </c>
      <c r="C968" s="118">
        <v>0.007438131003215656</v>
      </c>
      <c r="D968" s="102" t="s">
        <v>2622</v>
      </c>
      <c r="E968" s="102" t="b">
        <v>0</v>
      </c>
      <c r="F968" s="102" t="b">
        <v>0</v>
      </c>
      <c r="G968" s="102" t="b">
        <v>0</v>
      </c>
    </row>
    <row r="969" spans="1:7" ht="15">
      <c r="A969" s="97" t="s">
        <v>2665</v>
      </c>
      <c r="B969" s="102">
        <v>2</v>
      </c>
      <c r="C969" s="118">
        <v>0.007438131003215656</v>
      </c>
      <c r="D969" s="102" t="s">
        <v>2622</v>
      </c>
      <c r="E969" s="102" t="b">
        <v>0</v>
      </c>
      <c r="F969" s="102" t="b">
        <v>0</v>
      </c>
      <c r="G969" s="102" t="b">
        <v>0</v>
      </c>
    </row>
    <row r="970" spans="1:7" ht="15">
      <c r="A970" s="97" t="s">
        <v>2790</v>
      </c>
      <c r="B970" s="102">
        <v>2</v>
      </c>
      <c r="C970" s="118">
        <v>0.007438131003215656</v>
      </c>
      <c r="D970" s="102" t="s">
        <v>2622</v>
      </c>
      <c r="E970" s="102" t="b">
        <v>0</v>
      </c>
      <c r="F970" s="102" t="b">
        <v>0</v>
      </c>
      <c r="G970" s="102" t="b">
        <v>0</v>
      </c>
    </row>
    <row r="971" spans="1:7" ht="15">
      <c r="A971" s="97" t="s">
        <v>3078</v>
      </c>
      <c r="B971" s="102">
        <v>2</v>
      </c>
      <c r="C971" s="118">
        <v>0.007438131003215656</v>
      </c>
      <c r="D971" s="102" t="s">
        <v>2622</v>
      </c>
      <c r="E971" s="102" t="b">
        <v>0</v>
      </c>
      <c r="F971" s="102" t="b">
        <v>0</v>
      </c>
      <c r="G971" s="102" t="b">
        <v>0</v>
      </c>
    </row>
    <row r="972" spans="1:7" ht="15">
      <c r="A972" s="97" t="s">
        <v>3079</v>
      </c>
      <c r="B972" s="102">
        <v>2</v>
      </c>
      <c r="C972" s="118">
        <v>0.007438131003215656</v>
      </c>
      <c r="D972" s="102" t="s">
        <v>2622</v>
      </c>
      <c r="E972" s="102" t="b">
        <v>0</v>
      </c>
      <c r="F972" s="102" t="b">
        <v>0</v>
      </c>
      <c r="G972" s="102" t="b">
        <v>0</v>
      </c>
    </row>
    <row r="973" spans="1:7" ht="15">
      <c r="A973" s="97" t="s">
        <v>3080</v>
      </c>
      <c r="B973" s="102">
        <v>2</v>
      </c>
      <c r="C973" s="118">
        <v>0.007438131003215656</v>
      </c>
      <c r="D973" s="102" t="s">
        <v>2622</v>
      </c>
      <c r="E973" s="102" t="b">
        <v>0</v>
      </c>
      <c r="F973" s="102" t="b">
        <v>0</v>
      </c>
      <c r="G973" s="102" t="b">
        <v>0</v>
      </c>
    </row>
    <row r="974" spans="1:7" ht="15">
      <c r="A974" s="97" t="s">
        <v>2846</v>
      </c>
      <c r="B974" s="102">
        <v>2</v>
      </c>
      <c r="C974" s="118">
        <v>0.007438131003215656</v>
      </c>
      <c r="D974" s="102" t="s">
        <v>2622</v>
      </c>
      <c r="E974" s="102" t="b">
        <v>0</v>
      </c>
      <c r="F974" s="102" t="b">
        <v>0</v>
      </c>
      <c r="G974" s="102" t="b">
        <v>0</v>
      </c>
    </row>
    <row r="975" spans="1:7" ht="15">
      <c r="A975" s="97" t="s">
        <v>3081</v>
      </c>
      <c r="B975" s="102">
        <v>2</v>
      </c>
      <c r="C975" s="118">
        <v>0.007438131003215656</v>
      </c>
      <c r="D975" s="102" t="s">
        <v>2622</v>
      </c>
      <c r="E975" s="102" t="b">
        <v>0</v>
      </c>
      <c r="F975" s="102" t="b">
        <v>0</v>
      </c>
      <c r="G975" s="102" t="b">
        <v>0</v>
      </c>
    </row>
    <row r="976" spans="1:7" ht="15">
      <c r="A976" s="97" t="s">
        <v>3082</v>
      </c>
      <c r="B976" s="102">
        <v>2</v>
      </c>
      <c r="C976" s="118">
        <v>0.007438131003215656</v>
      </c>
      <c r="D976" s="102" t="s">
        <v>2622</v>
      </c>
      <c r="E976" s="102" t="b">
        <v>0</v>
      </c>
      <c r="F976" s="102" t="b">
        <v>0</v>
      </c>
      <c r="G976" s="102" t="b">
        <v>0</v>
      </c>
    </row>
    <row r="977" spans="1:7" ht="15">
      <c r="A977" s="97" t="s">
        <v>3083</v>
      </c>
      <c r="B977" s="102">
        <v>2</v>
      </c>
      <c r="C977" s="118">
        <v>0.007438131003215656</v>
      </c>
      <c r="D977" s="102" t="s">
        <v>2622</v>
      </c>
      <c r="E977" s="102" t="b">
        <v>0</v>
      </c>
      <c r="F977" s="102" t="b">
        <v>0</v>
      </c>
      <c r="G977" s="102" t="b">
        <v>0</v>
      </c>
    </row>
    <row r="978" spans="1:7" ht="15">
      <c r="A978" s="97" t="s">
        <v>3084</v>
      </c>
      <c r="B978" s="102">
        <v>2</v>
      </c>
      <c r="C978" s="118">
        <v>0.007438131003215656</v>
      </c>
      <c r="D978" s="102" t="s">
        <v>2622</v>
      </c>
      <c r="E978" s="102" t="b">
        <v>0</v>
      </c>
      <c r="F978" s="102" t="b">
        <v>0</v>
      </c>
      <c r="G978" s="102" t="b">
        <v>0</v>
      </c>
    </row>
    <row r="979" spans="1:7" ht="15">
      <c r="A979" s="97" t="s">
        <v>2788</v>
      </c>
      <c r="B979" s="102">
        <v>2</v>
      </c>
      <c r="C979" s="118">
        <v>0.007438131003215656</v>
      </c>
      <c r="D979" s="102" t="s">
        <v>2622</v>
      </c>
      <c r="E979" s="102" t="b">
        <v>0</v>
      </c>
      <c r="F979" s="102" t="b">
        <v>0</v>
      </c>
      <c r="G979" s="102" t="b">
        <v>0</v>
      </c>
    </row>
    <row r="980" spans="1:7" ht="15">
      <c r="A980" s="97" t="s">
        <v>3085</v>
      </c>
      <c r="B980" s="102">
        <v>2</v>
      </c>
      <c r="C980" s="118">
        <v>0.007438131003215656</v>
      </c>
      <c r="D980" s="102" t="s">
        <v>2622</v>
      </c>
      <c r="E980" s="102" t="b">
        <v>0</v>
      </c>
      <c r="F980" s="102" t="b">
        <v>0</v>
      </c>
      <c r="G980" s="102" t="b">
        <v>0</v>
      </c>
    </row>
    <row r="981" spans="1:7" ht="15">
      <c r="A981" s="97" t="s">
        <v>2869</v>
      </c>
      <c r="B981" s="102">
        <v>2</v>
      </c>
      <c r="C981" s="118">
        <v>0.007438131003215656</v>
      </c>
      <c r="D981" s="102" t="s">
        <v>2622</v>
      </c>
      <c r="E981" s="102" t="b">
        <v>0</v>
      </c>
      <c r="F981" s="102" t="b">
        <v>0</v>
      </c>
      <c r="G981" s="102" t="b">
        <v>0</v>
      </c>
    </row>
    <row r="982" spans="1:7" ht="15">
      <c r="A982" s="97" t="s">
        <v>3086</v>
      </c>
      <c r="B982" s="102">
        <v>2</v>
      </c>
      <c r="C982" s="118">
        <v>0.007438131003215656</v>
      </c>
      <c r="D982" s="102" t="s">
        <v>2622</v>
      </c>
      <c r="E982" s="102" t="b">
        <v>0</v>
      </c>
      <c r="F982" s="102" t="b">
        <v>0</v>
      </c>
      <c r="G982" s="102" t="b">
        <v>0</v>
      </c>
    </row>
    <row r="983" spans="1:7" ht="15">
      <c r="A983" s="97" t="s">
        <v>3087</v>
      </c>
      <c r="B983" s="102">
        <v>2</v>
      </c>
      <c r="C983" s="118">
        <v>0.007438131003215656</v>
      </c>
      <c r="D983" s="102" t="s">
        <v>2622</v>
      </c>
      <c r="E983" s="102" t="b">
        <v>0</v>
      </c>
      <c r="F983" s="102" t="b">
        <v>0</v>
      </c>
      <c r="G983" s="102" t="b">
        <v>0</v>
      </c>
    </row>
    <row r="984" spans="1:7" ht="15">
      <c r="A984" s="97" t="s">
        <v>3088</v>
      </c>
      <c r="B984" s="102">
        <v>2</v>
      </c>
      <c r="C984" s="118">
        <v>0.007438131003215656</v>
      </c>
      <c r="D984" s="102" t="s">
        <v>2622</v>
      </c>
      <c r="E984" s="102" t="b">
        <v>0</v>
      </c>
      <c r="F984" s="102" t="b">
        <v>0</v>
      </c>
      <c r="G984" s="102" t="b">
        <v>0</v>
      </c>
    </row>
    <row r="985" spans="1:7" ht="15">
      <c r="A985" s="97" t="s">
        <v>2682</v>
      </c>
      <c r="B985" s="102">
        <v>2</v>
      </c>
      <c r="C985" s="118">
        <v>0.007438131003215656</v>
      </c>
      <c r="D985" s="102" t="s">
        <v>2622</v>
      </c>
      <c r="E985" s="102" t="b">
        <v>0</v>
      </c>
      <c r="F985" s="102" t="b">
        <v>0</v>
      </c>
      <c r="G985" s="102" t="b">
        <v>0</v>
      </c>
    </row>
    <row r="986" spans="1:7" ht="15">
      <c r="A986" s="97" t="s">
        <v>3089</v>
      </c>
      <c r="B986" s="102">
        <v>2</v>
      </c>
      <c r="C986" s="118">
        <v>0.007438131003215656</v>
      </c>
      <c r="D986" s="102" t="s">
        <v>2622</v>
      </c>
      <c r="E986" s="102" t="b">
        <v>0</v>
      </c>
      <c r="F986" s="102" t="b">
        <v>0</v>
      </c>
      <c r="G986" s="102" t="b">
        <v>0</v>
      </c>
    </row>
    <row r="987" spans="1:7" ht="15">
      <c r="A987" s="97" t="s">
        <v>2710</v>
      </c>
      <c r="B987" s="102">
        <v>2</v>
      </c>
      <c r="C987" s="118">
        <v>0.007438131003215656</v>
      </c>
      <c r="D987" s="102" t="s">
        <v>2622</v>
      </c>
      <c r="E987" s="102" t="b">
        <v>0</v>
      </c>
      <c r="F987" s="102" t="b">
        <v>0</v>
      </c>
      <c r="G987" s="102" t="b">
        <v>0</v>
      </c>
    </row>
    <row r="988" spans="1:7" ht="15">
      <c r="A988" s="97" t="s">
        <v>2750</v>
      </c>
      <c r="B988" s="102">
        <v>2</v>
      </c>
      <c r="C988" s="118">
        <v>0.007438131003215656</v>
      </c>
      <c r="D988" s="102" t="s">
        <v>2622</v>
      </c>
      <c r="E988" s="102" t="b">
        <v>0</v>
      </c>
      <c r="F988" s="102" t="b">
        <v>0</v>
      </c>
      <c r="G988" s="102" t="b">
        <v>0</v>
      </c>
    </row>
    <row r="989" spans="1:7" ht="15">
      <c r="A989" s="97" t="s">
        <v>2751</v>
      </c>
      <c r="B989" s="102">
        <v>2</v>
      </c>
      <c r="C989" s="118">
        <v>0.007438131003215656</v>
      </c>
      <c r="D989" s="102" t="s">
        <v>2622</v>
      </c>
      <c r="E989" s="102" t="b">
        <v>0</v>
      </c>
      <c r="F989" s="102" t="b">
        <v>0</v>
      </c>
      <c r="G989" s="102" t="b">
        <v>0</v>
      </c>
    </row>
    <row r="990" spans="1:7" ht="15">
      <c r="A990" s="97" t="s">
        <v>2848</v>
      </c>
      <c r="B990" s="102">
        <v>2</v>
      </c>
      <c r="C990" s="118">
        <v>0.007438131003215656</v>
      </c>
      <c r="D990" s="102" t="s">
        <v>2622</v>
      </c>
      <c r="E990" s="102" t="b">
        <v>0</v>
      </c>
      <c r="F990" s="102" t="b">
        <v>0</v>
      </c>
      <c r="G990" s="102" t="b">
        <v>0</v>
      </c>
    </row>
    <row r="991" spans="1:7" ht="15">
      <c r="A991" s="97" t="s">
        <v>2832</v>
      </c>
      <c r="B991" s="102">
        <v>2</v>
      </c>
      <c r="C991" s="118">
        <v>0.007438131003215656</v>
      </c>
      <c r="D991" s="102" t="s">
        <v>2622</v>
      </c>
      <c r="E991" s="102" t="b">
        <v>0</v>
      </c>
      <c r="F991" s="102" t="b">
        <v>0</v>
      </c>
      <c r="G991" s="102" t="b">
        <v>0</v>
      </c>
    </row>
    <row r="992" spans="1:7" ht="15">
      <c r="A992" s="97" t="s">
        <v>461</v>
      </c>
      <c r="B992" s="102">
        <v>2</v>
      </c>
      <c r="C992" s="118">
        <v>0</v>
      </c>
      <c r="D992" s="102" t="s">
        <v>2624</v>
      </c>
      <c r="E992" s="102" t="b">
        <v>0</v>
      </c>
      <c r="F992" s="102" t="b">
        <v>0</v>
      </c>
      <c r="G992" s="102" t="b">
        <v>0</v>
      </c>
    </row>
    <row r="993" spans="1:7" ht="15">
      <c r="A993" s="97" t="s">
        <v>712</v>
      </c>
      <c r="B993" s="102">
        <v>2</v>
      </c>
      <c r="C993" s="118">
        <v>0</v>
      </c>
      <c r="D993" s="102" t="s">
        <v>2624</v>
      </c>
      <c r="E993" s="102" t="b">
        <v>0</v>
      </c>
      <c r="F993" s="102" t="b">
        <v>0</v>
      </c>
      <c r="G993" s="102" t="b">
        <v>0</v>
      </c>
    </row>
    <row r="994" spans="1:7" ht="15">
      <c r="A994" s="97" t="s">
        <v>2738</v>
      </c>
      <c r="B994" s="102">
        <v>2</v>
      </c>
      <c r="C994" s="118">
        <v>0</v>
      </c>
      <c r="D994" s="102" t="s">
        <v>2626</v>
      </c>
      <c r="E994" s="102" t="b">
        <v>0</v>
      </c>
      <c r="F994" s="102" t="b">
        <v>0</v>
      </c>
      <c r="G994" s="102" t="b">
        <v>0</v>
      </c>
    </row>
    <row r="995" spans="1:7" ht="15">
      <c r="A995" s="97" t="s">
        <v>2748</v>
      </c>
      <c r="B995" s="102">
        <v>2</v>
      </c>
      <c r="C995" s="118">
        <v>0</v>
      </c>
      <c r="D995" s="102" t="s">
        <v>2626</v>
      </c>
      <c r="E995" s="102" t="b">
        <v>0</v>
      </c>
      <c r="F995" s="102" t="b">
        <v>0</v>
      </c>
      <c r="G995" s="102" t="b">
        <v>0</v>
      </c>
    </row>
    <row r="996" spans="1:7" ht="15">
      <c r="A996" s="97" t="s">
        <v>2807</v>
      </c>
      <c r="B996" s="102">
        <v>2</v>
      </c>
      <c r="C996" s="118">
        <v>0</v>
      </c>
      <c r="D996" s="102" t="s">
        <v>2626</v>
      </c>
      <c r="E996" s="102" t="b">
        <v>0</v>
      </c>
      <c r="F996" s="102" t="b">
        <v>0</v>
      </c>
      <c r="G996" s="102" t="b">
        <v>0</v>
      </c>
    </row>
    <row r="997" spans="1:7" ht="15">
      <c r="A997" s="97" t="s">
        <v>2811</v>
      </c>
      <c r="B997" s="102">
        <v>2</v>
      </c>
      <c r="C997" s="118">
        <v>0</v>
      </c>
      <c r="D997" s="102" t="s">
        <v>2627</v>
      </c>
      <c r="E997" s="102" t="b">
        <v>0</v>
      </c>
      <c r="F997" s="102" t="b">
        <v>0</v>
      </c>
      <c r="G997" s="102" t="b">
        <v>0</v>
      </c>
    </row>
    <row r="998" spans="1:7" ht="15">
      <c r="A998" s="97" t="s">
        <v>2707</v>
      </c>
      <c r="B998" s="102">
        <v>3</v>
      </c>
      <c r="C998" s="118">
        <v>0</v>
      </c>
      <c r="D998" s="102" t="s">
        <v>2631</v>
      </c>
      <c r="E998" s="102" t="b">
        <v>0</v>
      </c>
      <c r="F998" s="102" t="b">
        <v>0</v>
      </c>
      <c r="G998" s="102" t="b">
        <v>0</v>
      </c>
    </row>
    <row r="999" spans="1:7" ht="15">
      <c r="A999" s="97" t="s">
        <v>412</v>
      </c>
      <c r="B999" s="102">
        <v>2</v>
      </c>
      <c r="C999" s="118">
        <v>0</v>
      </c>
      <c r="D999" s="102" t="s">
        <v>2631</v>
      </c>
      <c r="E999" s="102" t="b">
        <v>0</v>
      </c>
      <c r="F999" s="102" t="b">
        <v>0</v>
      </c>
      <c r="G999" s="102" t="b">
        <v>0</v>
      </c>
    </row>
    <row r="1000" spans="1:7" ht="15">
      <c r="A1000" s="97" t="s">
        <v>3054</v>
      </c>
      <c r="B1000" s="102">
        <v>2</v>
      </c>
      <c r="C1000" s="118">
        <v>0</v>
      </c>
      <c r="D1000" s="102" t="s">
        <v>2631</v>
      </c>
      <c r="E1000" s="102" t="b">
        <v>0</v>
      </c>
      <c r="F1000" s="102" t="b">
        <v>0</v>
      </c>
      <c r="G1000" s="102" t="b">
        <v>0</v>
      </c>
    </row>
    <row r="1001" spans="1:7" ht="15">
      <c r="A1001" s="97" t="s">
        <v>3055</v>
      </c>
      <c r="B1001" s="102">
        <v>2</v>
      </c>
      <c r="C1001" s="118">
        <v>0</v>
      </c>
      <c r="D1001" s="102" t="s">
        <v>2631</v>
      </c>
      <c r="E1001" s="102" t="b">
        <v>0</v>
      </c>
      <c r="F1001" s="102" t="b">
        <v>0</v>
      </c>
      <c r="G1001" s="102" t="b">
        <v>0</v>
      </c>
    </row>
    <row r="1002" spans="1:7" ht="15">
      <c r="A1002" s="97" t="s">
        <v>2867</v>
      </c>
      <c r="B1002" s="102">
        <v>2</v>
      </c>
      <c r="C1002" s="118">
        <v>0.0158436839823148</v>
      </c>
      <c r="D1002" s="102" t="s">
        <v>2631</v>
      </c>
      <c r="E1002" s="102" t="b">
        <v>0</v>
      </c>
      <c r="F1002" s="102" t="b">
        <v>0</v>
      </c>
      <c r="G1002" s="102" t="b">
        <v>0</v>
      </c>
    </row>
    <row r="1003" spans="1:7" ht="15">
      <c r="A1003" s="97" t="s">
        <v>712</v>
      </c>
      <c r="B1003" s="102">
        <v>2</v>
      </c>
      <c r="C1003" s="118">
        <v>0</v>
      </c>
      <c r="D1003" s="102" t="s">
        <v>2631</v>
      </c>
      <c r="E1003" s="102" t="b">
        <v>0</v>
      </c>
      <c r="F1003" s="102" t="b">
        <v>0</v>
      </c>
      <c r="G1003" s="102" t="b">
        <v>0</v>
      </c>
    </row>
    <row r="1004" spans="1:7" ht="15">
      <c r="A1004" s="97" t="s">
        <v>2742</v>
      </c>
      <c r="B1004" s="102">
        <v>2</v>
      </c>
      <c r="C1004" s="118">
        <v>0</v>
      </c>
      <c r="D1004" s="102" t="s">
        <v>2634</v>
      </c>
      <c r="E1004" s="102" t="b">
        <v>0</v>
      </c>
      <c r="F1004" s="102" t="b">
        <v>0</v>
      </c>
      <c r="G1004" s="102" t="b">
        <v>0</v>
      </c>
    </row>
    <row r="1005" spans="1:7" ht="15">
      <c r="A1005" s="97" t="s">
        <v>3092</v>
      </c>
      <c r="B1005" s="102">
        <v>2</v>
      </c>
      <c r="C1005" s="118">
        <v>0</v>
      </c>
      <c r="D1005" s="102" t="s">
        <v>2634</v>
      </c>
      <c r="E1005" s="102" t="b">
        <v>0</v>
      </c>
      <c r="F1005" s="102" t="b">
        <v>0</v>
      </c>
      <c r="G1005" s="102" t="b">
        <v>0</v>
      </c>
    </row>
    <row r="1006" spans="1:7" ht="15">
      <c r="A1006" s="97" t="s">
        <v>3093</v>
      </c>
      <c r="B1006" s="102">
        <v>2</v>
      </c>
      <c r="C1006" s="118">
        <v>0</v>
      </c>
      <c r="D1006" s="102" t="s">
        <v>2634</v>
      </c>
      <c r="E1006" s="102" t="b">
        <v>0</v>
      </c>
      <c r="F1006" s="102" t="b">
        <v>0</v>
      </c>
      <c r="G1006" s="102" t="b">
        <v>0</v>
      </c>
    </row>
    <row r="1007" spans="1:7" ht="15">
      <c r="A1007" s="97" t="s">
        <v>3094</v>
      </c>
      <c r="B1007" s="102">
        <v>2</v>
      </c>
      <c r="C1007" s="118">
        <v>0</v>
      </c>
      <c r="D1007" s="102" t="s">
        <v>2634</v>
      </c>
      <c r="E1007" s="102" t="b">
        <v>0</v>
      </c>
      <c r="F1007" s="102" t="b">
        <v>0</v>
      </c>
      <c r="G1007" s="102" t="b">
        <v>0</v>
      </c>
    </row>
    <row r="1008" spans="1:7" ht="15">
      <c r="A1008" s="97" t="s">
        <v>3095</v>
      </c>
      <c r="B1008" s="102">
        <v>2</v>
      </c>
      <c r="C1008" s="118">
        <v>0</v>
      </c>
      <c r="D1008" s="102" t="s">
        <v>2634</v>
      </c>
      <c r="E1008" s="102" t="b">
        <v>0</v>
      </c>
      <c r="F1008" s="102" t="b">
        <v>0</v>
      </c>
      <c r="G1008" s="102" t="b">
        <v>0</v>
      </c>
    </row>
    <row r="1009" spans="1:7" ht="15">
      <c r="A1009" s="97" t="s">
        <v>3096</v>
      </c>
      <c r="B1009" s="102">
        <v>2</v>
      </c>
      <c r="C1009" s="118">
        <v>0</v>
      </c>
      <c r="D1009" s="102" t="s">
        <v>2634</v>
      </c>
      <c r="E1009" s="102" t="b">
        <v>0</v>
      </c>
      <c r="F1009" s="102" t="b">
        <v>0</v>
      </c>
      <c r="G1009" s="102" t="b">
        <v>0</v>
      </c>
    </row>
    <row r="1010" spans="1:7" ht="15">
      <c r="A1010" s="97" t="s">
        <v>3097</v>
      </c>
      <c r="B1010" s="102">
        <v>2</v>
      </c>
      <c r="C1010" s="118">
        <v>0</v>
      </c>
      <c r="D1010" s="102" t="s">
        <v>2634</v>
      </c>
      <c r="E1010" s="102" t="b">
        <v>0</v>
      </c>
      <c r="F1010" s="102" t="b">
        <v>0</v>
      </c>
      <c r="G1010" s="102" t="b">
        <v>0</v>
      </c>
    </row>
    <row r="1011" spans="1:7" ht="15">
      <c r="A1011" s="97" t="s">
        <v>3098</v>
      </c>
      <c r="B1011" s="102">
        <v>2</v>
      </c>
      <c r="C1011" s="118">
        <v>0</v>
      </c>
      <c r="D1011" s="102" t="s">
        <v>2634</v>
      </c>
      <c r="E1011" s="102" t="b">
        <v>0</v>
      </c>
      <c r="F1011" s="102" t="b">
        <v>0</v>
      </c>
      <c r="G1011" s="102" t="b">
        <v>0</v>
      </c>
    </row>
    <row r="1012" spans="1:7" ht="15">
      <c r="A1012" s="97" t="s">
        <v>3099</v>
      </c>
      <c r="B1012" s="102">
        <v>2</v>
      </c>
      <c r="C1012" s="118">
        <v>0</v>
      </c>
      <c r="D1012" s="102" t="s">
        <v>2634</v>
      </c>
      <c r="E1012" s="102" t="b">
        <v>0</v>
      </c>
      <c r="F1012" s="102" t="b">
        <v>0</v>
      </c>
      <c r="G1012" s="102" t="b">
        <v>0</v>
      </c>
    </row>
    <row r="1013" spans="1:7" ht="15">
      <c r="A1013" s="97" t="s">
        <v>3100</v>
      </c>
      <c r="B1013" s="102">
        <v>2</v>
      </c>
      <c r="C1013" s="118">
        <v>0</v>
      </c>
      <c r="D1013" s="102" t="s">
        <v>2634</v>
      </c>
      <c r="E1013" s="102" t="b">
        <v>0</v>
      </c>
      <c r="F1013" s="102" t="b">
        <v>0</v>
      </c>
      <c r="G1013" s="102" t="b">
        <v>0</v>
      </c>
    </row>
    <row r="1014" spans="1:7" ht="15">
      <c r="A1014" s="97" t="s">
        <v>2765</v>
      </c>
      <c r="B1014" s="102">
        <v>2</v>
      </c>
      <c r="C1014" s="118">
        <v>0</v>
      </c>
      <c r="D1014" s="102" t="s">
        <v>2634</v>
      </c>
      <c r="E1014" s="102" t="b">
        <v>0</v>
      </c>
      <c r="F1014" s="102" t="b">
        <v>0</v>
      </c>
      <c r="G1014" s="102" t="b">
        <v>0</v>
      </c>
    </row>
    <row r="1015" spans="1:7" ht="15">
      <c r="A1015" s="97" t="s">
        <v>2662</v>
      </c>
      <c r="B1015" s="102">
        <v>2</v>
      </c>
      <c r="C1015" s="118">
        <v>0</v>
      </c>
      <c r="D1015" s="102" t="s">
        <v>2634</v>
      </c>
      <c r="E1015" s="102" t="b">
        <v>0</v>
      </c>
      <c r="F1015" s="102" t="b">
        <v>0</v>
      </c>
      <c r="G1015" s="102" t="b">
        <v>0</v>
      </c>
    </row>
    <row r="1016" spans="1:7" ht="15">
      <c r="A1016" s="97" t="s">
        <v>2851</v>
      </c>
      <c r="B1016" s="102">
        <v>2</v>
      </c>
      <c r="C1016" s="118">
        <v>0</v>
      </c>
      <c r="D1016" s="102" t="s">
        <v>2634</v>
      </c>
      <c r="E1016" s="102" t="b">
        <v>0</v>
      </c>
      <c r="F1016" s="102" t="b">
        <v>0</v>
      </c>
      <c r="G1016" s="102" t="b">
        <v>0</v>
      </c>
    </row>
    <row r="1017" spans="1:7" ht="15">
      <c r="A1017" s="97" t="s">
        <v>2852</v>
      </c>
      <c r="B1017" s="102">
        <v>2</v>
      </c>
      <c r="C1017" s="118">
        <v>0</v>
      </c>
      <c r="D1017" s="102" t="s">
        <v>2634</v>
      </c>
      <c r="E1017" s="102" t="b">
        <v>0</v>
      </c>
      <c r="F1017" s="102" t="b">
        <v>0</v>
      </c>
      <c r="G1017" s="102" t="b">
        <v>0</v>
      </c>
    </row>
    <row r="1018" spans="1:7" ht="15">
      <c r="A1018" s="97" t="s">
        <v>2874</v>
      </c>
      <c r="B1018" s="102">
        <v>2</v>
      </c>
      <c r="C1018" s="118">
        <v>0</v>
      </c>
      <c r="D1018" s="102" t="s">
        <v>2634</v>
      </c>
      <c r="E1018" s="102" t="b">
        <v>0</v>
      </c>
      <c r="F1018" s="102" t="b">
        <v>0</v>
      </c>
      <c r="G1018" s="102" t="b">
        <v>0</v>
      </c>
    </row>
    <row r="1019" spans="1:7" ht="15">
      <c r="A1019" s="97" t="s">
        <v>2754</v>
      </c>
      <c r="B1019" s="102">
        <v>2</v>
      </c>
      <c r="C1019" s="118">
        <v>0</v>
      </c>
      <c r="D1019" s="102" t="s">
        <v>2634</v>
      </c>
      <c r="E1019" s="102" t="b">
        <v>0</v>
      </c>
      <c r="F1019" s="102" t="b">
        <v>0</v>
      </c>
      <c r="G1019" s="102" t="b">
        <v>0</v>
      </c>
    </row>
    <row r="1020" spans="1:7" ht="15">
      <c r="A1020" s="97" t="s">
        <v>3101</v>
      </c>
      <c r="B1020" s="102">
        <v>2</v>
      </c>
      <c r="C1020" s="118">
        <v>0</v>
      </c>
      <c r="D1020" s="102" t="s">
        <v>2634</v>
      </c>
      <c r="E1020" s="102" t="b">
        <v>0</v>
      </c>
      <c r="F1020" s="102" t="b">
        <v>0</v>
      </c>
      <c r="G1020" s="102" t="b">
        <v>0</v>
      </c>
    </row>
    <row r="1021" spans="1:7" ht="15">
      <c r="A1021" s="97" t="s">
        <v>3102</v>
      </c>
      <c r="B1021" s="102">
        <v>2</v>
      </c>
      <c r="C1021" s="118">
        <v>0</v>
      </c>
      <c r="D1021" s="102" t="s">
        <v>2634</v>
      </c>
      <c r="E1021" s="102" t="b">
        <v>0</v>
      </c>
      <c r="F1021" s="102" t="b">
        <v>0</v>
      </c>
      <c r="G1021" s="102" t="b">
        <v>0</v>
      </c>
    </row>
    <row r="1022" spans="1:7" ht="15">
      <c r="A1022" s="97" t="s">
        <v>2850</v>
      </c>
      <c r="B1022" s="102">
        <v>2</v>
      </c>
      <c r="C1022" s="118">
        <v>0</v>
      </c>
      <c r="D1022" s="102" t="s">
        <v>2634</v>
      </c>
      <c r="E1022" s="102" t="b">
        <v>0</v>
      </c>
      <c r="F1022" s="102" t="b">
        <v>0</v>
      </c>
      <c r="G1022" s="102" t="b">
        <v>0</v>
      </c>
    </row>
    <row r="1023" spans="1:7" ht="15">
      <c r="A1023" s="97" t="s">
        <v>3103</v>
      </c>
      <c r="B1023" s="102">
        <v>2</v>
      </c>
      <c r="C1023" s="118">
        <v>0</v>
      </c>
      <c r="D1023" s="102" t="s">
        <v>2634</v>
      </c>
      <c r="E1023" s="102" t="b">
        <v>0</v>
      </c>
      <c r="F1023" s="102" t="b">
        <v>0</v>
      </c>
      <c r="G1023" s="102" t="b">
        <v>0</v>
      </c>
    </row>
    <row r="1024" spans="1:7" ht="15">
      <c r="A1024" s="97" t="s">
        <v>3104</v>
      </c>
      <c r="B1024" s="102">
        <v>2</v>
      </c>
      <c r="C1024" s="118">
        <v>0</v>
      </c>
      <c r="D1024" s="102" t="s">
        <v>2634</v>
      </c>
      <c r="E1024" s="102" t="b">
        <v>0</v>
      </c>
      <c r="F1024" s="102" t="b">
        <v>0</v>
      </c>
      <c r="G1024"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20CA3-84EB-4478-A519-96E3462085C7}">
  <dimension ref="A1:L8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3114</v>
      </c>
      <c r="B1" s="13" t="s">
        <v>3115</v>
      </c>
      <c r="C1" s="13" t="s">
        <v>3105</v>
      </c>
      <c r="D1" s="13" t="s">
        <v>3109</v>
      </c>
      <c r="E1" s="13" t="s">
        <v>3116</v>
      </c>
      <c r="F1" s="13" t="s">
        <v>144</v>
      </c>
      <c r="G1" s="13" t="s">
        <v>3117</v>
      </c>
      <c r="H1" s="13" t="s">
        <v>3118</v>
      </c>
      <c r="I1" s="13" t="s">
        <v>3119</v>
      </c>
      <c r="J1" s="13" t="s">
        <v>3120</v>
      </c>
      <c r="K1" s="13" t="s">
        <v>3121</v>
      </c>
      <c r="L1" s="13" t="s">
        <v>3122</v>
      </c>
    </row>
    <row r="2" spans="1:12" ht="15">
      <c r="A2" s="102" t="s">
        <v>2663</v>
      </c>
      <c r="B2" s="102" t="s">
        <v>712</v>
      </c>
      <c r="C2" s="102">
        <v>25</v>
      </c>
      <c r="D2" s="118">
        <v>0.00661389752247236</v>
      </c>
      <c r="E2" s="118">
        <v>1.143062880700536</v>
      </c>
      <c r="F2" s="102" t="s">
        <v>3110</v>
      </c>
      <c r="G2" s="102" t="b">
        <v>0</v>
      </c>
      <c r="H2" s="102" t="b">
        <v>0</v>
      </c>
      <c r="I2" s="102" t="b">
        <v>0</v>
      </c>
      <c r="J2" s="102" t="b">
        <v>0</v>
      </c>
      <c r="K2" s="102" t="b">
        <v>0</v>
      </c>
      <c r="L2" s="102" t="b">
        <v>0</v>
      </c>
    </row>
    <row r="3" spans="1:12" ht="15">
      <c r="A3" s="97" t="s">
        <v>2666</v>
      </c>
      <c r="B3" s="102" t="s">
        <v>2664</v>
      </c>
      <c r="C3" s="102">
        <v>24</v>
      </c>
      <c r="D3" s="118">
        <v>0.006461519424645007</v>
      </c>
      <c r="E3" s="118">
        <v>2.086727928859155</v>
      </c>
      <c r="F3" s="102" t="s">
        <v>3110</v>
      </c>
      <c r="G3" s="102" t="b">
        <v>0</v>
      </c>
      <c r="H3" s="102" t="b">
        <v>0</v>
      </c>
      <c r="I3" s="102" t="b">
        <v>0</v>
      </c>
      <c r="J3" s="102" t="b">
        <v>0</v>
      </c>
      <c r="K3" s="102" t="b">
        <v>0</v>
      </c>
      <c r="L3" s="102" t="b">
        <v>0</v>
      </c>
    </row>
    <row r="4" spans="1:12" ht="15">
      <c r="A4" s="97" t="s">
        <v>2664</v>
      </c>
      <c r="B4" s="102" t="s">
        <v>2667</v>
      </c>
      <c r="C4" s="102">
        <v>24</v>
      </c>
      <c r="D4" s="118">
        <v>0.006461519424645007</v>
      </c>
      <c r="E4" s="118">
        <v>2.086727928859155</v>
      </c>
      <c r="F4" s="102" t="s">
        <v>3110</v>
      </c>
      <c r="G4" s="102" t="b">
        <v>0</v>
      </c>
      <c r="H4" s="102" t="b">
        <v>0</v>
      </c>
      <c r="I4" s="102" t="b">
        <v>0</v>
      </c>
      <c r="J4" s="102" t="b">
        <v>0</v>
      </c>
      <c r="K4" s="102" t="b">
        <v>0</v>
      </c>
      <c r="L4" s="102" t="b">
        <v>0</v>
      </c>
    </row>
    <row r="5" spans="1:12" ht="15">
      <c r="A5" s="97" t="s">
        <v>2667</v>
      </c>
      <c r="B5" s="102" t="s">
        <v>2663</v>
      </c>
      <c r="C5" s="102">
        <v>24</v>
      </c>
      <c r="D5" s="118">
        <v>0.006461519424645007</v>
      </c>
      <c r="E5" s="118">
        <v>2.043975948438205</v>
      </c>
      <c r="F5" s="102" t="s">
        <v>3110</v>
      </c>
      <c r="G5" s="102" t="b">
        <v>0</v>
      </c>
      <c r="H5" s="102" t="b">
        <v>0</v>
      </c>
      <c r="I5" s="102" t="b">
        <v>0</v>
      </c>
      <c r="J5" s="102" t="b">
        <v>0</v>
      </c>
      <c r="K5" s="102" t="b">
        <v>0</v>
      </c>
      <c r="L5" s="102" t="b">
        <v>0</v>
      </c>
    </row>
    <row r="6" spans="1:12" ht="15">
      <c r="A6" s="97" t="s">
        <v>2669</v>
      </c>
      <c r="B6" s="102" t="s">
        <v>2670</v>
      </c>
      <c r="C6" s="102">
        <v>23</v>
      </c>
      <c r="D6" s="118">
        <v>0.006304369156227493</v>
      </c>
      <c r="E6" s="118">
        <v>2.187398090740518</v>
      </c>
      <c r="F6" s="102" t="s">
        <v>3110</v>
      </c>
      <c r="G6" s="102" t="b">
        <v>0</v>
      </c>
      <c r="H6" s="102" t="b">
        <v>0</v>
      </c>
      <c r="I6" s="102" t="b">
        <v>0</v>
      </c>
      <c r="J6" s="102" t="b">
        <v>0</v>
      </c>
      <c r="K6" s="102" t="b">
        <v>0</v>
      </c>
      <c r="L6" s="102" t="b">
        <v>0</v>
      </c>
    </row>
    <row r="7" spans="1:12" ht="15">
      <c r="A7" s="97" t="s">
        <v>2670</v>
      </c>
      <c r="B7" s="102" t="s">
        <v>2671</v>
      </c>
      <c r="C7" s="102">
        <v>22</v>
      </c>
      <c r="D7" s="118">
        <v>0.006142239103376069</v>
      </c>
      <c r="E7" s="118">
        <v>2.187398090740518</v>
      </c>
      <c r="F7" s="102" t="s">
        <v>3110</v>
      </c>
      <c r="G7" s="102" t="b">
        <v>0</v>
      </c>
      <c r="H7" s="102" t="b">
        <v>0</v>
      </c>
      <c r="I7" s="102" t="b">
        <v>0</v>
      </c>
      <c r="J7" s="102" t="b">
        <v>0</v>
      </c>
      <c r="K7" s="102" t="b">
        <v>0</v>
      </c>
      <c r="L7" s="102" t="b">
        <v>0</v>
      </c>
    </row>
    <row r="8" spans="1:12" ht="15">
      <c r="A8" s="97" t="s">
        <v>2671</v>
      </c>
      <c r="B8" s="102" t="s">
        <v>2666</v>
      </c>
      <c r="C8" s="102">
        <v>22</v>
      </c>
      <c r="D8" s="118">
        <v>0.006142239103376069</v>
      </c>
      <c r="E8" s="118">
        <v>2.168914685046505</v>
      </c>
      <c r="F8" s="102" t="s">
        <v>3110</v>
      </c>
      <c r="G8" s="102" t="b">
        <v>0</v>
      </c>
      <c r="H8" s="102" t="b">
        <v>0</v>
      </c>
      <c r="I8" s="102" t="b">
        <v>0</v>
      </c>
      <c r="J8" s="102" t="b">
        <v>0</v>
      </c>
      <c r="K8" s="102" t="b">
        <v>0</v>
      </c>
      <c r="L8" s="102" t="b">
        <v>0</v>
      </c>
    </row>
    <row r="9" spans="1:12" ht="15">
      <c r="A9" s="97" t="s">
        <v>2668</v>
      </c>
      <c r="B9" s="102" t="s">
        <v>2672</v>
      </c>
      <c r="C9" s="102">
        <v>22</v>
      </c>
      <c r="D9" s="118">
        <v>0.006142239103376069</v>
      </c>
      <c r="E9" s="118">
        <v>2.168914685046505</v>
      </c>
      <c r="F9" s="102" t="s">
        <v>3110</v>
      </c>
      <c r="G9" s="102" t="b">
        <v>0</v>
      </c>
      <c r="H9" s="102" t="b">
        <v>0</v>
      </c>
      <c r="I9" s="102" t="b">
        <v>0</v>
      </c>
      <c r="J9" s="102" t="b">
        <v>0</v>
      </c>
      <c r="K9" s="102" t="b">
        <v>0</v>
      </c>
      <c r="L9" s="102" t="b">
        <v>0</v>
      </c>
    </row>
    <row r="10" spans="1:12" ht="15">
      <c r="A10" s="97" t="s">
        <v>2672</v>
      </c>
      <c r="B10" s="102" t="s">
        <v>2665</v>
      </c>
      <c r="C10" s="102">
        <v>22</v>
      </c>
      <c r="D10" s="118">
        <v>0.006142239103376069</v>
      </c>
      <c r="E10" s="118">
        <v>2.101967895415892</v>
      </c>
      <c r="F10" s="102" t="s">
        <v>3110</v>
      </c>
      <c r="G10" s="102" t="b">
        <v>0</v>
      </c>
      <c r="H10" s="102" t="b">
        <v>0</v>
      </c>
      <c r="I10" s="102" t="b">
        <v>0</v>
      </c>
      <c r="J10" s="102" t="b">
        <v>0</v>
      </c>
      <c r="K10" s="102" t="b">
        <v>0</v>
      </c>
      <c r="L10" s="102" t="b">
        <v>0</v>
      </c>
    </row>
    <row r="11" spans="1:12" ht="15">
      <c r="A11" s="97" t="s">
        <v>431</v>
      </c>
      <c r="B11" s="102" t="s">
        <v>430</v>
      </c>
      <c r="C11" s="102">
        <v>21</v>
      </c>
      <c r="D11" s="118">
        <v>0.0059749027595571115</v>
      </c>
      <c r="E11" s="118">
        <v>2.2269066320241917</v>
      </c>
      <c r="F11" s="102" t="s">
        <v>3110</v>
      </c>
      <c r="G11" s="102" t="b">
        <v>0</v>
      </c>
      <c r="H11" s="102" t="b">
        <v>0</v>
      </c>
      <c r="I11" s="102" t="b">
        <v>0</v>
      </c>
      <c r="J11" s="102" t="b">
        <v>0</v>
      </c>
      <c r="K11" s="102" t="b">
        <v>0</v>
      </c>
      <c r="L11" s="102" t="b">
        <v>0</v>
      </c>
    </row>
    <row r="12" spans="1:12" ht="15">
      <c r="A12" s="97" t="s">
        <v>2675</v>
      </c>
      <c r="B12" s="102" t="s">
        <v>2678</v>
      </c>
      <c r="C12" s="102">
        <v>18</v>
      </c>
      <c r="D12" s="118">
        <v>0.005439046834223117</v>
      </c>
      <c r="E12" s="118">
        <v>2.24809593109413</v>
      </c>
      <c r="F12" s="102" t="s">
        <v>3110</v>
      </c>
      <c r="G12" s="102" t="b">
        <v>0</v>
      </c>
      <c r="H12" s="102" t="b">
        <v>0</v>
      </c>
      <c r="I12" s="102" t="b">
        <v>0</v>
      </c>
      <c r="J12" s="102" t="b">
        <v>0</v>
      </c>
      <c r="K12" s="102" t="b">
        <v>0</v>
      </c>
      <c r="L12" s="102" t="b">
        <v>0</v>
      </c>
    </row>
    <row r="13" spans="1:12" ht="15">
      <c r="A13" s="97" t="s">
        <v>2678</v>
      </c>
      <c r="B13" s="102" t="s">
        <v>2676</v>
      </c>
      <c r="C13" s="102">
        <v>18</v>
      </c>
      <c r="D13" s="118">
        <v>0.005439046834223117</v>
      </c>
      <c r="E13" s="118">
        <v>2.270372325805282</v>
      </c>
      <c r="F13" s="102" t="s">
        <v>3110</v>
      </c>
      <c r="G13" s="102" t="b">
        <v>0</v>
      </c>
      <c r="H13" s="102" t="b">
        <v>0</v>
      </c>
      <c r="I13" s="102" t="b">
        <v>0</v>
      </c>
      <c r="J13" s="102" t="b">
        <v>0</v>
      </c>
      <c r="K13" s="102" t="b">
        <v>0</v>
      </c>
      <c r="L13" s="102" t="b">
        <v>0</v>
      </c>
    </row>
    <row r="14" spans="1:12" ht="15">
      <c r="A14" s="97" t="s">
        <v>2676</v>
      </c>
      <c r="B14" s="102" t="s">
        <v>2660</v>
      </c>
      <c r="C14" s="102">
        <v>18</v>
      </c>
      <c r="D14" s="118">
        <v>0.005439046834223117</v>
      </c>
      <c r="E14" s="118">
        <v>1.9023955405106878</v>
      </c>
      <c r="F14" s="102" t="s">
        <v>3110</v>
      </c>
      <c r="G14" s="102" t="b">
        <v>0</v>
      </c>
      <c r="H14" s="102" t="b">
        <v>0</v>
      </c>
      <c r="I14" s="102" t="b">
        <v>0</v>
      </c>
      <c r="J14" s="102" t="b">
        <v>0</v>
      </c>
      <c r="K14" s="102" t="b">
        <v>0</v>
      </c>
      <c r="L14" s="102" t="b">
        <v>0</v>
      </c>
    </row>
    <row r="15" spans="1:12" ht="15">
      <c r="A15" s="97" t="s">
        <v>2660</v>
      </c>
      <c r="B15" s="102" t="s">
        <v>2679</v>
      </c>
      <c r="C15" s="102">
        <v>18</v>
      </c>
      <c r="D15" s="118">
        <v>0.005439046834223117</v>
      </c>
      <c r="E15" s="118">
        <v>1.9928234259908237</v>
      </c>
      <c r="F15" s="102" t="s">
        <v>3110</v>
      </c>
      <c r="G15" s="102" t="b">
        <v>0</v>
      </c>
      <c r="H15" s="102" t="b">
        <v>0</v>
      </c>
      <c r="I15" s="102" t="b">
        <v>0</v>
      </c>
      <c r="J15" s="102" t="b">
        <v>0</v>
      </c>
      <c r="K15" s="102" t="b">
        <v>0</v>
      </c>
      <c r="L15" s="102" t="b">
        <v>0</v>
      </c>
    </row>
    <row r="16" spans="1:12" ht="15">
      <c r="A16" s="97" t="s">
        <v>2679</v>
      </c>
      <c r="B16" s="102" t="s">
        <v>2662</v>
      </c>
      <c r="C16" s="102">
        <v>18</v>
      </c>
      <c r="D16" s="118">
        <v>0.005439046834223117</v>
      </c>
      <c r="E16" s="118">
        <v>2.0306119868802237</v>
      </c>
      <c r="F16" s="102" t="s">
        <v>3110</v>
      </c>
      <c r="G16" s="102" t="b">
        <v>0</v>
      </c>
      <c r="H16" s="102" t="b">
        <v>0</v>
      </c>
      <c r="I16" s="102" t="b">
        <v>0</v>
      </c>
      <c r="J16" s="102" t="b">
        <v>0</v>
      </c>
      <c r="K16" s="102" t="b">
        <v>0</v>
      </c>
      <c r="L16" s="102" t="b">
        <v>0</v>
      </c>
    </row>
    <row r="17" spans="1:12" ht="15">
      <c r="A17" s="97" t="s">
        <v>2662</v>
      </c>
      <c r="B17" s="102" t="s">
        <v>431</v>
      </c>
      <c r="C17" s="102">
        <v>18</v>
      </c>
      <c r="D17" s="118">
        <v>0.005439046834223117</v>
      </c>
      <c r="E17" s="118">
        <v>1.977029158807592</v>
      </c>
      <c r="F17" s="102" t="s">
        <v>3110</v>
      </c>
      <c r="G17" s="102" t="b">
        <v>0</v>
      </c>
      <c r="H17" s="102" t="b">
        <v>0</v>
      </c>
      <c r="I17" s="102" t="b">
        <v>0</v>
      </c>
      <c r="J17" s="102" t="b">
        <v>0</v>
      </c>
      <c r="K17" s="102" t="b">
        <v>0</v>
      </c>
      <c r="L17" s="102" t="b">
        <v>0</v>
      </c>
    </row>
    <row r="18" spans="1:12" ht="15">
      <c r="A18" s="97" t="s">
        <v>459</v>
      </c>
      <c r="B18" s="102" t="s">
        <v>458</v>
      </c>
      <c r="C18" s="102">
        <v>18</v>
      </c>
      <c r="D18" s="118">
        <v>0.005439046834223117</v>
      </c>
      <c r="E18" s="118">
        <v>1.974451735919781</v>
      </c>
      <c r="F18" s="102" t="s">
        <v>3110</v>
      </c>
      <c r="G18" s="102" t="b">
        <v>0</v>
      </c>
      <c r="H18" s="102" t="b">
        <v>0</v>
      </c>
      <c r="I18" s="102" t="b">
        <v>0</v>
      </c>
      <c r="J18" s="102" t="b">
        <v>0</v>
      </c>
      <c r="K18" s="102" t="b">
        <v>0</v>
      </c>
      <c r="L18" s="102" t="b">
        <v>0</v>
      </c>
    </row>
    <row r="19" spans="1:12" ht="15">
      <c r="A19" s="97" t="s">
        <v>712</v>
      </c>
      <c r="B19" s="102" t="s">
        <v>2661</v>
      </c>
      <c r="C19" s="102">
        <v>15</v>
      </c>
      <c r="D19" s="118">
        <v>0.004845673405190599</v>
      </c>
      <c r="E19" s="118">
        <v>0.9234020172323552</v>
      </c>
      <c r="F19" s="102" t="s">
        <v>3110</v>
      </c>
      <c r="G19" s="102" t="b">
        <v>0</v>
      </c>
      <c r="H19" s="102" t="b">
        <v>0</v>
      </c>
      <c r="I19" s="102" t="b">
        <v>0</v>
      </c>
      <c r="J19" s="102" t="b">
        <v>0</v>
      </c>
      <c r="K19" s="102" t="b">
        <v>0</v>
      </c>
      <c r="L19" s="102" t="b">
        <v>0</v>
      </c>
    </row>
    <row r="20" spans="1:12" ht="15">
      <c r="A20" s="97" t="s">
        <v>712</v>
      </c>
      <c r="B20" s="102" t="s">
        <v>2668</v>
      </c>
      <c r="C20" s="102">
        <v>15</v>
      </c>
      <c r="D20" s="118">
        <v>0.004845673405190599</v>
      </c>
      <c r="E20" s="118">
        <v>1.0617047153986365</v>
      </c>
      <c r="F20" s="102" t="s">
        <v>3110</v>
      </c>
      <c r="G20" s="102" t="b">
        <v>0</v>
      </c>
      <c r="H20" s="102" t="b">
        <v>0</v>
      </c>
      <c r="I20" s="102" t="b">
        <v>0</v>
      </c>
      <c r="J20" s="102" t="b">
        <v>0</v>
      </c>
      <c r="K20" s="102" t="b">
        <v>0</v>
      </c>
      <c r="L20" s="102" t="b">
        <v>0</v>
      </c>
    </row>
    <row r="21" spans="1:12" ht="15">
      <c r="A21" s="97" t="s">
        <v>2661</v>
      </c>
      <c r="B21" s="102" t="s">
        <v>2660</v>
      </c>
      <c r="C21" s="102">
        <v>14</v>
      </c>
      <c r="D21" s="118">
        <v>0.0046332230612829645</v>
      </c>
      <c r="E21" s="118">
        <v>1.5668546937185428</v>
      </c>
      <c r="F21" s="102" t="s">
        <v>3110</v>
      </c>
      <c r="G21" s="102" t="b">
        <v>0</v>
      </c>
      <c r="H21" s="102" t="b">
        <v>0</v>
      </c>
      <c r="I21" s="102" t="b">
        <v>0</v>
      </c>
      <c r="J21" s="102" t="b">
        <v>0</v>
      </c>
      <c r="K21" s="102" t="b">
        <v>0</v>
      </c>
      <c r="L21" s="102" t="b">
        <v>0</v>
      </c>
    </row>
    <row r="22" spans="1:12" ht="15">
      <c r="A22" s="97" t="s">
        <v>2660</v>
      </c>
      <c r="B22" s="102" t="s">
        <v>2673</v>
      </c>
      <c r="C22" s="102">
        <v>14</v>
      </c>
      <c r="D22" s="118">
        <v>0.0046332230612829645</v>
      </c>
      <c r="E22" s="118">
        <v>1.8167321669351426</v>
      </c>
      <c r="F22" s="102" t="s">
        <v>3110</v>
      </c>
      <c r="G22" s="102" t="b">
        <v>0</v>
      </c>
      <c r="H22" s="102" t="b">
        <v>0</v>
      </c>
      <c r="I22" s="102" t="b">
        <v>0</v>
      </c>
      <c r="J22" s="102" t="b">
        <v>0</v>
      </c>
      <c r="K22" s="102" t="b">
        <v>0</v>
      </c>
      <c r="L22" s="102" t="b">
        <v>0</v>
      </c>
    </row>
    <row r="23" spans="1:12" ht="15">
      <c r="A23" s="97" t="s">
        <v>2673</v>
      </c>
      <c r="B23" s="102" t="s">
        <v>2683</v>
      </c>
      <c r="C23" s="102">
        <v>14</v>
      </c>
      <c r="D23" s="118">
        <v>0.0046332230612829645</v>
      </c>
      <c r="E23" s="118">
        <v>2.2269066320241917</v>
      </c>
      <c r="F23" s="102" t="s">
        <v>3110</v>
      </c>
      <c r="G23" s="102" t="b">
        <v>0</v>
      </c>
      <c r="H23" s="102" t="b">
        <v>0</v>
      </c>
      <c r="I23" s="102" t="b">
        <v>0</v>
      </c>
      <c r="J23" s="102" t="b">
        <v>0</v>
      </c>
      <c r="K23" s="102" t="b">
        <v>0</v>
      </c>
      <c r="L23" s="102" t="b">
        <v>0</v>
      </c>
    </row>
    <row r="24" spans="1:12" ht="15">
      <c r="A24" s="97" t="s">
        <v>432</v>
      </c>
      <c r="B24" s="102" t="s">
        <v>2686</v>
      </c>
      <c r="C24" s="102">
        <v>13</v>
      </c>
      <c r="D24" s="118">
        <v>0.0044125872528793025</v>
      </c>
      <c r="E24" s="118">
        <v>2.402997891079873</v>
      </c>
      <c r="F24" s="102" t="s">
        <v>3110</v>
      </c>
      <c r="G24" s="102" t="b">
        <v>0</v>
      </c>
      <c r="H24" s="102" t="b">
        <v>0</v>
      </c>
      <c r="I24" s="102" t="b">
        <v>0</v>
      </c>
      <c r="J24" s="102" t="b">
        <v>0</v>
      </c>
      <c r="K24" s="102" t="b">
        <v>0</v>
      </c>
      <c r="L24" s="102" t="b">
        <v>0</v>
      </c>
    </row>
    <row r="25" spans="1:12" ht="15">
      <c r="A25" s="97" t="s">
        <v>2686</v>
      </c>
      <c r="B25" s="102" t="s">
        <v>2687</v>
      </c>
      <c r="C25" s="102">
        <v>13</v>
      </c>
      <c r="D25" s="118">
        <v>0.0044125872528793025</v>
      </c>
      <c r="E25" s="118">
        <v>2.4351825744512743</v>
      </c>
      <c r="F25" s="102" t="s">
        <v>3110</v>
      </c>
      <c r="G25" s="102" t="b">
        <v>0</v>
      </c>
      <c r="H25" s="102" t="b">
        <v>0</v>
      </c>
      <c r="I25" s="102" t="b">
        <v>0</v>
      </c>
      <c r="J25" s="102" t="b">
        <v>0</v>
      </c>
      <c r="K25" s="102" t="b">
        <v>0</v>
      </c>
      <c r="L25" s="102" t="b">
        <v>0</v>
      </c>
    </row>
    <row r="26" spans="1:12" ht="15">
      <c r="A26" s="97" t="s">
        <v>2687</v>
      </c>
      <c r="B26" s="102" t="s">
        <v>2688</v>
      </c>
      <c r="C26" s="102">
        <v>13</v>
      </c>
      <c r="D26" s="118">
        <v>0.0044125872528793025</v>
      </c>
      <c r="E26" s="118">
        <v>2.4351825744512743</v>
      </c>
      <c r="F26" s="102" t="s">
        <v>3110</v>
      </c>
      <c r="G26" s="102" t="b">
        <v>0</v>
      </c>
      <c r="H26" s="102" t="b">
        <v>0</v>
      </c>
      <c r="I26" s="102" t="b">
        <v>0</v>
      </c>
      <c r="J26" s="102" t="b">
        <v>0</v>
      </c>
      <c r="K26" s="102" t="b">
        <v>0</v>
      </c>
      <c r="L26" s="102" t="b">
        <v>0</v>
      </c>
    </row>
    <row r="27" spans="1:12" ht="15">
      <c r="A27" s="97" t="s">
        <v>2688</v>
      </c>
      <c r="B27" s="102" t="s">
        <v>2689</v>
      </c>
      <c r="C27" s="102">
        <v>13</v>
      </c>
      <c r="D27" s="118">
        <v>0.0044125872528793025</v>
      </c>
      <c r="E27" s="118">
        <v>2.4351825744512743</v>
      </c>
      <c r="F27" s="102" t="s">
        <v>3110</v>
      </c>
      <c r="G27" s="102" t="b">
        <v>0</v>
      </c>
      <c r="H27" s="102" t="b">
        <v>0</v>
      </c>
      <c r="I27" s="102" t="b">
        <v>0</v>
      </c>
      <c r="J27" s="102" t="b">
        <v>0</v>
      </c>
      <c r="K27" s="102" t="b">
        <v>0</v>
      </c>
      <c r="L27" s="102" t="b">
        <v>0</v>
      </c>
    </row>
    <row r="28" spans="1:12" ht="15">
      <c r="A28" s="97" t="s">
        <v>2689</v>
      </c>
      <c r="B28" s="102" t="s">
        <v>2690</v>
      </c>
      <c r="C28" s="102">
        <v>13</v>
      </c>
      <c r="D28" s="118">
        <v>0.0044125872528793025</v>
      </c>
      <c r="E28" s="118">
        <v>2.4351825744512743</v>
      </c>
      <c r="F28" s="102" t="s">
        <v>3110</v>
      </c>
      <c r="G28" s="102" t="b">
        <v>0</v>
      </c>
      <c r="H28" s="102" t="b">
        <v>0</v>
      </c>
      <c r="I28" s="102" t="b">
        <v>0</v>
      </c>
      <c r="J28" s="102" t="b">
        <v>0</v>
      </c>
      <c r="K28" s="102" t="b">
        <v>0</v>
      </c>
      <c r="L28" s="102" t="b">
        <v>0</v>
      </c>
    </row>
    <row r="29" spans="1:12" ht="15">
      <c r="A29" s="97" t="s">
        <v>2690</v>
      </c>
      <c r="B29" s="102" t="s">
        <v>2691</v>
      </c>
      <c r="C29" s="102">
        <v>13</v>
      </c>
      <c r="D29" s="118">
        <v>0.0044125872528793025</v>
      </c>
      <c r="E29" s="118">
        <v>2.4351825744512743</v>
      </c>
      <c r="F29" s="102" t="s">
        <v>3110</v>
      </c>
      <c r="G29" s="102" t="b">
        <v>0</v>
      </c>
      <c r="H29" s="102" t="b">
        <v>0</v>
      </c>
      <c r="I29" s="102" t="b">
        <v>0</v>
      </c>
      <c r="J29" s="102" t="b">
        <v>0</v>
      </c>
      <c r="K29" s="102" t="b">
        <v>0</v>
      </c>
      <c r="L29" s="102" t="b">
        <v>0</v>
      </c>
    </row>
    <row r="30" spans="1:12" ht="15">
      <c r="A30" s="97" t="s">
        <v>2691</v>
      </c>
      <c r="B30" s="102" t="s">
        <v>2692</v>
      </c>
      <c r="C30" s="102">
        <v>13</v>
      </c>
      <c r="D30" s="118">
        <v>0.0044125872528793025</v>
      </c>
      <c r="E30" s="118">
        <v>2.4351825744512743</v>
      </c>
      <c r="F30" s="102" t="s">
        <v>3110</v>
      </c>
      <c r="G30" s="102" t="b">
        <v>0</v>
      </c>
      <c r="H30" s="102" t="b">
        <v>0</v>
      </c>
      <c r="I30" s="102" t="b">
        <v>0</v>
      </c>
      <c r="J30" s="102" t="b">
        <v>0</v>
      </c>
      <c r="K30" s="102" t="b">
        <v>0</v>
      </c>
      <c r="L30" s="102" t="b">
        <v>0</v>
      </c>
    </row>
    <row r="31" spans="1:12" ht="15">
      <c r="A31" s="97" t="s">
        <v>2692</v>
      </c>
      <c r="B31" s="102" t="s">
        <v>2693</v>
      </c>
      <c r="C31" s="102">
        <v>13</v>
      </c>
      <c r="D31" s="118">
        <v>0.0044125872528793025</v>
      </c>
      <c r="E31" s="118">
        <v>2.4351825744512743</v>
      </c>
      <c r="F31" s="102" t="s">
        <v>3110</v>
      </c>
      <c r="G31" s="102" t="b">
        <v>0</v>
      </c>
      <c r="H31" s="102" t="b">
        <v>0</v>
      </c>
      <c r="I31" s="102" t="b">
        <v>0</v>
      </c>
      <c r="J31" s="102" t="b">
        <v>0</v>
      </c>
      <c r="K31" s="102" t="b">
        <v>0</v>
      </c>
      <c r="L31" s="102" t="b">
        <v>0</v>
      </c>
    </row>
    <row r="32" spans="1:12" ht="15">
      <c r="A32" s="97" t="s">
        <v>2693</v>
      </c>
      <c r="B32" s="102" t="s">
        <v>2694</v>
      </c>
      <c r="C32" s="102">
        <v>13</v>
      </c>
      <c r="D32" s="118">
        <v>0.0044125872528793025</v>
      </c>
      <c r="E32" s="118">
        <v>2.4351825744512743</v>
      </c>
      <c r="F32" s="102" t="s">
        <v>3110</v>
      </c>
      <c r="G32" s="102" t="b">
        <v>0</v>
      </c>
      <c r="H32" s="102" t="b">
        <v>0</v>
      </c>
      <c r="I32" s="102" t="b">
        <v>0</v>
      </c>
      <c r="J32" s="102" t="b">
        <v>0</v>
      </c>
      <c r="K32" s="102" t="b">
        <v>0</v>
      </c>
      <c r="L32" s="102" t="b">
        <v>0</v>
      </c>
    </row>
    <row r="33" spans="1:12" ht="15">
      <c r="A33" s="97" t="s">
        <v>2694</v>
      </c>
      <c r="B33" s="102" t="s">
        <v>2695</v>
      </c>
      <c r="C33" s="102">
        <v>13</v>
      </c>
      <c r="D33" s="118">
        <v>0.0044125872528793025</v>
      </c>
      <c r="E33" s="118">
        <v>2.4351825744512743</v>
      </c>
      <c r="F33" s="102" t="s">
        <v>3110</v>
      </c>
      <c r="G33" s="102" t="b">
        <v>0</v>
      </c>
      <c r="H33" s="102" t="b">
        <v>0</v>
      </c>
      <c r="I33" s="102" t="b">
        <v>0</v>
      </c>
      <c r="J33" s="102" t="b">
        <v>0</v>
      </c>
      <c r="K33" s="102" t="b">
        <v>0</v>
      </c>
      <c r="L33" s="102" t="b">
        <v>0</v>
      </c>
    </row>
    <row r="34" spans="1:12" ht="15">
      <c r="A34" s="97" t="s">
        <v>2695</v>
      </c>
      <c r="B34" s="102" t="s">
        <v>2696</v>
      </c>
      <c r="C34" s="102">
        <v>13</v>
      </c>
      <c r="D34" s="118">
        <v>0.0044125872528793025</v>
      </c>
      <c r="E34" s="118">
        <v>2.4351825744512743</v>
      </c>
      <c r="F34" s="102" t="s">
        <v>3110</v>
      </c>
      <c r="G34" s="102" t="b">
        <v>0</v>
      </c>
      <c r="H34" s="102" t="b">
        <v>0</v>
      </c>
      <c r="I34" s="102" t="b">
        <v>0</v>
      </c>
      <c r="J34" s="102" t="b">
        <v>0</v>
      </c>
      <c r="K34" s="102" t="b">
        <v>0</v>
      </c>
      <c r="L34" s="102" t="b">
        <v>0</v>
      </c>
    </row>
    <row r="35" spans="1:12" ht="15">
      <c r="A35" s="97" t="s">
        <v>2696</v>
      </c>
      <c r="B35" s="102" t="s">
        <v>2697</v>
      </c>
      <c r="C35" s="102">
        <v>13</v>
      </c>
      <c r="D35" s="118">
        <v>0.0044125872528793025</v>
      </c>
      <c r="E35" s="118">
        <v>2.4351825744512743</v>
      </c>
      <c r="F35" s="102" t="s">
        <v>3110</v>
      </c>
      <c r="G35" s="102" t="b">
        <v>0</v>
      </c>
      <c r="H35" s="102" t="b">
        <v>0</v>
      </c>
      <c r="I35" s="102" t="b">
        <v>0</v>
      </c>
      <c r="J35" s="102" t="b">
        <v>0</v>
      </c>
      <c r="K35" s="102" t="b">
        <v>0</v>
      </c>
      <c r="L35" s="102" t="b">
        <v>0</v>
      </c>
    </row>
    <row r="36" spans="1:12" ht="15">
      <c r="A36" s="97" t="s">
        <v>2697</v>
      </c>
      <c r="B36" s="102" t="s">
        <v>712</v>
      </c>
      <c r="C36" s="102">
        <v>13</v>
      </c>
      <c r="D36" s="118">
        <v>0.0044125872528793025</v>
      </c>
      <c r="E36" s="118">
        <v>1.2502728503484044</v>
      </c>
      <c r="F36" s="102" t="s">
        <v>3110</v>
      </c>
      <c r="G36" s="102" t="b">
        <v>0</v>
      </c>
      <c r="H36" s="102" t="b">
        <v>0</v>
      </c>
      <c r="I36" s="102" t="b">
        <v>0</v>
      </c>
      <c r="J36" s="102" t="b">
        <v>0</v>
      </c>
      <c r="K36" s="102" t="b">
        <v>0</v>
      </c>
      <c r="L36" s="102" t="b">
        <v>0</v>
      </c>
    </row>
    <row r="37" spans="1:12" ht="15">
      <c r="A37" s="97" t="s">
        <v>712</v>
      </c>
      <c r="B37" s="102" t="s">
        <v>2698</v>
      </c>
      <c r="C37" s="102">
        <v>13</v>
      </c>
      <c r="D37" s="118">
        <v>0.0044125872528793025</v>
      </c>
      <c r="E37" s="118">
        <v>1.2658246980545613</v>
      </c>
      <c r="F37" s="102" t="s">
        <v>3110</v>
      </c>
      <c r="G37" s="102" t="b">
        <v>0</v>
      </c>
      <c r="H37" s="102" t="b">
        <v>0</v>
      </c>
      <c r="I37" s="102" t="b">
        <v>0</v>
      </c>
      <c r="J37" s="102" t="b">
        <v>0</v>
      </c>
      <c r="K37" s="102" t="b">
        <v>0</v>
      </c>
      <c r="L37" s="102" t="b">
        <v>0</v>
      </c>
    </row>
    <row r="38" spans="1:12" ht="15">
      <c r="A38" s="97" t="s">
        <v>2698</v>
      </c>
      <c r="B38" s="102" t="s">
        <v>2699</v>
      </c>
      <c r="C38" s="102">
        <v>13</v>
      </c>
      <c r="D38" s="118">
        <v>0.0044125872528793025</v>
      </c>
      <c r="E38" s="118">
        <v>2.4351825744512743</v>
      </c>
      <c r="F38" s="102" t="s">
        <v>3110</v>
      </c>
      <c r="G38" s="102" t="b">
        <v>0</v>
      </c>
      <c r="H38" s="102" t="b">
        <v>0</v>
      </c>
      <c r="I38" s="102" t="b">
        <v>0</v>
      </c>
      <c r="J38" s="102" t="b">
        <v>0</v>
      </c>
      <c r="K38" s="102" t="b">
        <v>0</v>
      </c>
      <c r="L38" s="102" t="b">
        <v>0</v>
      </c>
    </row>
    <row r="39" spans="1:12" ht="15">
      <c r="A39" s="97" t="s">
        <v>2699</v>
      </c>
      <c r="B39" s="102" t="s">
        <v>2700</v>
      </c>
      <c r="C39" s="102">
        <v>13</v>
      </c>
      <c r="D39" s="118">
        <v>0.0044125872528793025</v>
      </c>
      <c r="E39" s="118">
        <v>2.4351825744512743</v>
      </c>
      <c r="F39" s="102" t="s">
        <v>3110</v>
      </c>
      <c r="G39" s="102" t="b">
        <v>0</v>
      </c>
      <c r="H39" s="102" t="b">
        <v>0</v>
      </c>
      <c r="I39" s="102" t="b">
        <v>0</v>
      </c>
      <c r="J39" s="102" t="b">
        <v>0</v>
      </c>
      <c r="K39" s="102" t="b">
        <v>0</v>
      </c>
      <c r="L39" s="102" t="b">
        <v>0</v>
      </c>
    </row>
    <row r="40" spans="1:12" ht="15">
      <c r="A40" s="97" t="s">
        <v>2700</v>
      </c>
      <c r="B40" s="102" t="s">
        <v>2701</v>
      </c>
      <c r="C40" s="102">
        <v>13</v>
      </c>
      <c r="D40" s="118">
        <v>0.0044125872528793025</v>
      </c>
      <c r="E40" s="118">
        <v>2.4351825744512743</v>
      </c>
      <c r="F40" s="102" t="s">
        <v>3110</v>
      </c>
      <c r="G40" s="102" t="b">
        <v>0</v>
      </c>
      <c r="H40" s="102" t="b">
        <v>0</v>
      </c>
      <c r="I40" s="102" t="b">
        <v>0</v>
      </c>
      <c r="J40" s="102" t="b">
        <v>0</v>
      </c>
      <c r="K40" s="102" t="b">
        <v>0</v>
      </c>
      <c r="L40" s="102" t="b">
        <v>0</v>
      </c>
    </row>
    <row r="41" spans="1:12" ht="15">
      <c r="A41" s="97" t="s">
        <v>2701</v>
      </c>
      <c r="B41" s="102" t="s">
        <v>2684</v>
      </c>
      <c r="C41" s="102">
        <v>13</v>
      </c>
      <c r="D41" s="118">
        <v>0.0044125872528793025</v>
      </c>
      <c r="E41" s="118">
        <v>2.402997891079873</v>
      </c>
      <c r="F41" s="102" t="s">
        <v>3110</v>
      </c>
      <c r="G41" s="102" t="b">
        <v>0</v>
      </c>
      <c r="H41" s="102" t="b">
        <v>0</v>
      </c>
      <c r="I41" s="102" t="b">
        <v>0</v>
      </c>
      <c r="J41" s="102" t="b">
        <v>0</v>
      </c>
      <c r="K41" s="102" t="b">
        <v>0</v>
      </c>
      <c r="L41" s="102" t="b">
        <v>0</v>
      </c>
    </row>
    <row r="42" spans="1:12" ht="15">
      <c r="A42" s="97" t="s">
        <v>2684</v>
      </c>
      <c r="B42" s="102" t="s">
        <v>2680</v>
      </c>
      <c r="C42" s="102">
        <v>13</v>
      </c>
      <c r="D42" s="118">
        <v>0.0044125872528793025</v>
      </c>
      <c r="E42" s="118">
        <v>2.286492322008436</v>
      </c>
      <c r="F42" s="102" t="s">
        <v>3110</v>
      </c>
      <c r="G42" s="102" t="b">
        <v>0</v>
      </c>
      <c r="H42" s="102" t="b">
        <v>0</v>
      </c>
      <c r="I42" s="102" t="b">
        <v>0</v>
      </c>
      <c r="J42" s="102" t="b">
        <v>0</v>
      </c>
      <c r="K42" s="102" t="b">
        <v>0</v>
      </c>
      <c r="L42" s="102" t="b">
        <v>0</v>
      </c>
    </row>
    <row r="43" spans="1:12" ht="15">
      <c r="A43" s="97" t="s">
        <v>2680</v>
      </c>
      <c r="B43" s="102" t="s">
        <v>2702</v>
      </c>
      <c r="C43" s="102">
        <v>13</v>
      </c>
      <c r="D43" s="118">
        <v>0.0044125872528793025</v>
      </c>
      <c r="E43" s="118">
        <v>2.318677005379837</v>
      </c>
      <c r="F43" s="102" t="s">
        <v>3110</v>
      </c>
      <c r="G43" s="102" t="b">
        <v>0</v>
      </c>
      <c r="H43" s="102" t="b">
        <v>0</v>
      </c>
      <c r="I43" s="102" t="b">
        <v>0</v>
      </c>
      <c r="J43" s="102" t="b">
        <v>0</v>
      </c>
      <c r="K43" s="102" t="b">
        <v>0</v>
      </c>
      <c r="L43" s="102" t="b">
        <v>0</v>
      </c>
    </row>
    <row r="44" spans="1:12" ht="15">
      <c r="A44" s="97" t="s">
        <v>2702</v>
      </c>
      <c r="B44" s="102" t="s">
        <v>2703</v>
      </c>
      <c r="C44" s="102">
        <v>13</v>
      </c>
      <c r="D44" s="118">
        <v>0.0044125872528793025</v>
      </c>
      <c r="E44" s="118">
        <v>2.4351825744512743</v>
      </c>
      <c r="F44" s="102" t="s">
        <v>3110</v>
      </c>
      <c r="G44" s="102" t="b">
        <v>0</v>
      </c>
      <c r="H44" s="102" t="b">
        <v>0</v>
      </c>
      <c r="I44" s="102" t="b">
        <v>0</v>
      </c>
      <c r="J44" s="102" t="b">
        <v>0</v>
      </c>
      <c r="K44" s="102" t="b">
        <v>0</v>
      </c>
      <c r="L44" s="102" t="b">
        <v>0</v>
      </c>
    </row>
    <row r="45" spans="1:12" ht="15">
      <c r="A45" s="97" t="s">
        <v>2703</v>
      </c>
      <c r="B45" s="102" t="s">
        <v>2677</v>
      </c>
      <c r="C45" s="102">
        <v>13</v>
      </c>
      <c r="D45" s="118">
        <v>0.0044125872528793025</v>
      </c>
      <c r="E45" s="118">
        <v>2.2938534216548048</v>
      </c>
      <c r="F45" s="102" t="s">
        <v>3110</v>
      </c>
      <c r="G45" s="102" t="b">
        <v>0</v>
      </c>
      <c r="H45" s="102" t="b">
        <v>0</v>
      </c>
      <c r="I45" s="102" t="b">
        <v>0</v>
      </c>
      <c r="J45" s="102" t="b">
        <v>0</v>
      </c>
      <c r="K45" s="102" t="b">
        <v>0</v>
      </c>
      <c r="L45" s="102" t="b">
        <v>0</v>
      </c>
    </row>
    <row r="46" spans="1:12" ht="15">
      <c r="A46" s="97" t="s">
        <v>2677</v>
      </c>
      <c r="B46" s="102" t="s">
        <v>1480</v>
      </c>
      <c r="C46" s="102">
        <v>13</v>
      </c>
      <c r="D46" s="118">
        <v>0.0044125872528793025</v>
      </c>
      <c r="E46" s="118">
        <v>2.2938534216548048</v>
      </c>
      <c r="F46" s="102" t="s">
        <v>3110</v>
      </c>
      <c r="G46" s="102" t="b">
        <v>0</v>
      </c>
      <c r="H46" s="102" t="b">
        <v>0</v>
      </c>
      <c r="I46" s="102" t="b">
        <v>0</v>
      </c>
      <c r="J46" s="102" t="b">
        <v>0</v>
      </c>
      <c r="K46" s="102" t="b">
        <v>0</v>
      </c>
      <c r="L46" s="102" t="b">
        <v>0</v>
      </c>
    </row>
    <row r="47" spans="1:12" ht="15">
      <c r="A47" s="97" t="s">
        <v>2663</v>
      </c>
      <c r="B47" s="102" t="s">
        <v>2662</v>
      </c>
      <c r="C47" s="102">
        <v>7</v>
      </c>
      <c r="D47" s="118">
        <v>0.0028721638558847906</v>
      </c>
      <c r="E47" s="118">
        <v>1.3705600485745744</v>
      </c>
      <c r="F47" s="102" t="s">
        <v>3110</v>
      </c>
      <c r="G47" s="102" t="b">
        <v>0</v>
      </c>
      <c r="H47" s="102" t="b">
        <v>0</v>
      </c>
      <c r="I47" s="102" t="b">
        <v>0</v>
      </c>
      <c r="J47" s="102" t="b">
        <v>0</v>
      </c>
      <c r="K47" s="102" t="b">
        <v>0</v>
      </c>
      <c r="L47" s="102" t="b">
        <v>0</v>
      </c>
    </row>
    <row r="48" spans="1:12" ht="15">
      <c r="A48" s="97" t="s">
        <v>2662</v>
      </c>
      <c r="B48" s="102" t="s">
        <v>2668</v>
      </c>
      <c r="C48" s="102">
        <v>7</v>
      </c>
      <c r="D48" s="118">
        <v>0.0028721638558847906</v>
      </c>
      <c r="E48" s="118">
        <v>1.508862746740856</v>
      </c>
      <c r="F48" s="102" t="s">
        <v>3110</v>
      </c>
      <c r="G48" s="102" t="b">
        <v>0</v>
      </c>
      <c r="H48" s="102" t="b">
        <v>0</v>
      </c>
      <c r="I48" s="102" t="b">
        <v>0</v>
      </c>
      <c r="J48" s="102" t="b">
        <v>0</v>
      </c>
      <c r="K48" s="102" t="b">
        <v>0</v>
      </c>
      <c r="L48" s="102" t="b">
        <v>0</v>
      </c>
    </row>
    <row r="49" spans="1:12" ht="15">
      <c r="A49" s="97" t="s">
        <v>338</v>
      </c>
      <c r="B49" s="102" t="s">
        <v>2719</v>
      </c>
      <c r="C49" s="102">
        <v>7</v>
      </c>
      <c r="D49" s="118">
        <v>0.0028721638558847906</v>
      </c>
      <c r="E49" s="118">
        <v>2.318677005379837</v>
      </c>
      <c r="F49" s="102" t="s">
        <v>3110</v>
      </c>
      <c r="G49" s="102" t="b">
        <v>0</v>
      </c>
      <c r="H49" s="102" t="b">
        <v>0</v>
      </c>
      <c r="I49" s="102" t="b">
        <v>0</v>
      </c>
      <c r="J49" s="102" t="b">
        <v>0</v>
      </c>
      <c r="K49" s="102" t="b">
        <v>0</v>
      </c>
      <c r="L49" s="102" t="b">
        <v>0</v>
      </c>
    </row>
    <row r="50" spans="1:12" ht="15">
      <c r="A50" s="97" t="s">
        <v>2719</v>
      </c>
      <c r="B50" s="102" t="s">
        <v>2682</v>
      </c>
      <c r="C50" s="102">
        <v>7</v>
      </c>
      <c r="D50" s="118">
        <v>0.0028721638558847906</v>
      </c>
      <c r="E50" s="118">
        <v>2.37303466770243</v>
      </c>
      <c r="F50" s="102" t="s">
        <v>3110</v>
      </c>
      <c r="G50" s="102" t="b">
        <v>0</v>
      </c>
      <c r="H50" s="102" t="b">
        <v>0</v>
      </c>
      <c r="I50" s="102" t="b">
        <v>0</v>
      </c>
      <c r="J50" s="102" t="b">
        <v>0</v>
      </c>
      <c r="K50" s="102" t="b">
        <v>0</v>
      </c>
      <c r="L50" s="102" t="b">
        <v>0</v>
      </c>
    </row>
    <row r="51" spans="1:12" ht="15">
      <c r="A51" s="97" t="s">
        <v>2682</v>
      </c>
      <c r="B51" s="102" t="s">
        <v>2720</v>
      </c>
      <c r="C51" s="102">
        <v>7</v>
      </c>
      <c r="D51" s="118">
        <v>0.0028721638558847906</v>
      </c>
      <c r="E51" s="118">
        <v>2.37303466770243</v>
      </c>
      <c r="F51" s="102" t="s">
        <v>3110</v>
      </c>
      <c r="G51" s="102" t="b">
        <v>0</v>
      </c>
      <c r="H51" s="102" t="b">
        <v>0</v>
      </c>
      <c r="I51" s="102" t="b">
        <v>0</v>
      </c>
      <c r="J51" s="102" t="b">
        <v>0</v>
      </c>
      <c r="K51" s="102" t="b">
        <v>0</v>
      </c>
      <c r="L51" s="102" t="b">
        <v>0</v>
      </c>
    </row>
    <row r="52" spans="1:12" ht="15">
      <c r="A52" s="97" t="s">
        <v>2720</v>
      </c>
      <c r="B52" s="102" t="s">
        <v>2721</v>
      </c>
      <c r="C52" s="102">
        <v>7</v>
      </c>
      <c r="D52" s="118">
        <v>0.0028721638558847906</v>
      </c>
      <c r="E52" s="118">
        <v>2.7040278867438543</v>
      </c>
      <c r="F52" s="102" t="s">
        <v>3110</v>
      </c>
      <c r="G52" s="102" t="b">
        <v>0</v>
      </c>
      <c r="H52" s="102" t="b">
        <v>0</v>
      </c>
      <c r="I52" s="102" t="b">
        <v>0</v>
      </c>
      <c r="J52" s="102" t="b">
        <v>0</v>
      </c>
      <c r="K52" s="102" t="b">
        <v>0</v>
      </c>
      <c r="L52" s="102" t="b">
        <v>0</v>
      </c>
    </row>
    <row r="53" spans="1:12" ht="15">
      <c r="A53" s="97" t="s">
        <v>2721</v>
      </c>
      <c r="B53" s="102" t="s">
        <v>2722</v>
      </c>
      <c r="C53" s="102">
        <v>7</v>
      </c>
      <c r="D53" s="118">
        <v>0.0028721638558847906</v>
      </c>
      <c r="E53" s="118">
        <v>2.7040278867438543</v>
      </c>
      <c r="F53" s="102" t="s">
        <v>3110</v>
      </c>
      <c r="G53" s="102" t="b">
        <v>0</v>
      </c>
      <c r="H53" s="102" t="b">
        <v>0</v>
      </c>
      <c r="I53" s="102" t="b">
        <v>0</v>
      </c>
      <c r="J53" s="102" t="b">
        <v>0</v>
      </c>
      <c r="K53" s="102" t="b">
        <v>0</v>
      </c>
      <c r="L53" s="102" t="b">
        <v>0</v>
      </c>
    </row>
    <row r="54" spans="1:12" ht="15">
      <c r="A54" s="97" t="s">
        <v>2722</v>
      </c>
      <c r="B54" s="102" t="s">
        <v>2723</v>
      </c>
      <c r="C54" s="102">
        <v>7</v>
      </c>
      <c r="D54" s="118">
        <v>0.0028721638558847906</v>
      </c>
      <c r="E54" s="118">
        <v>2.7040278867438543</v>
      </c>
      <c r="F54" s="102" t="s">
        <v>3110</v>
      </c>
      <c r="G54" s="102" t="b">
        <v>0</v>
      </c>
      <c r="H54" s="102" t="b">
        <v>0</v>
      </c>
      <c r="I54" s="102" t="b">
        <v>0</v>
      </c>
      <c r="J54" s="102" t="b">
        <v>0</v>
      </c>
      <c r="K54" s="102" t="b">
        <v>0</v>
      </c>
      <c r="L54" s="102" t="b">
        <v>0</v>
      </c>
    </row>
    <row r="55" spans="1:12" ht="15">
      <c r="A55" s="97" t="s">
        <v>2723</v>
      </c>
      <c r="B55" s="102" t="s">
        <v>2724</v>
      </c>
      <c r="C55" s="102">
        <v>7</v>
      </c>
      <c r="D55" s="118">
        <v>0.0028721638558847906</v>
      </c>
      <c r="E55" s="118">
        <v>2.7040278867438543</v>
      </c>
      <c r="F55" s="102" t="s">
        <v>3110</v>
      </c>
      <c r="G55" s="102" t="b">
        <v>0</v>
      </c>
      <c r="H55" s="102" t="b">
        <v>0</v>
      </c>
      <c r="I55" s="102" t="b">
        <v>0</v>
      </c>
      <c r="J55" s="102" t="b">
        <v>0</v>
      </c>
      <c r="K55" s="102" t="b">
        <v>0</v>
      </c>
      <c r="L55" s="102" t="b">
        <v>0</v>
      </c>
    </row>
    <row r="56" spans="1:12" ht="15">
      <c r="A56" s="97" t="s">
        <v>2724</v>
      </c>
      <c r="B56" s="102" t="s">
        <v>2725</v>
      </c>
      <c r="C56" s="102">
        <v>7</v>
      </c>
      <c r="D56" s="118">
        <v>0.0028721638558847906</v>
      </c>
      <c r="E56" s="118">
        <v>2.7040278867438543</v>
      </c>
      <c r="F56" s="102" t="s">
        <v>3110</v>
      </c>
      <c r="G56" s="102" t="b">
        <v>0</v>
      </c>
      <c r="H56" s="102" t="b">
        <v>0</v>
      </c>
      <c r="I56" s="102" t="b">
        <v>0</v>
      </c>
      <c r="J56" s="102" t="b">
        <v>0</v>
      </c>
      <c r="K56" s="102" t="b">
        <v>0</v>
      </c>
      <c r="L56" s="102" t="b">
        <v>0</v>
      </c>
    </row>
    <row r="57" spans="1:12" ht="15">
      <c r="A57" s="97" t="s">
        <v>2725</v>
      </c>
      <c r="B57" s="102" t="s">
        <v>2669</v>
      </c>
      <c r="C57" s="102">
        <v>7</v>
      </c>
      <c r="D57" s="118">
        <v>0.0028721638558847906</v>
      </c>
      <c r="E57" s="118">
        <v>2.37303466770243</v>
      </c>
      <c r="F57" s="102" t="s">
        <v>3110</v>
      </c>
      <c r="G57" s="102" t="b">
        <v>0</v>
      </c>
      <c r="H57" s="102" t="b">
        <v>0</v>
      </c>
      <c r="I57" s="102" t="b">
        <v>0</v>
      </c>
      <c r="J57" s="102" t="b">
        <v>0</v>
      </c>
      <c r="K57" s="102" t="b">
        <v>0</v>
      </c>
      <c r="L57" s="102" t="b">
        <v>0</v>
      </c>
    </row>
    <row r="58" spans="1:12" ht="15">
      <c r="A58" s="97" t="s">
        <v>2708</v>
      </c>
      <c r="B58" s="102" t="s">
        <v>712</v>
      </c>
      <c r="C58" s="102">
        <v>7</v>
      </c>
      <c r="D58" s="118">
        <v>0.0028721638558847906</v>
      </c>
      <c r="E58" s="118">
        <v>1.0539782052044362</v>
      </c>
      <c r="F58" s="102" t="s">
        <v>3110</v>
      </c>
      <c r="G58" s="102" t="b">
        <v>0</v>
      </c>
      <c r="H58" s="102" t="b">
        <v>0</v>
      </c>
      <c r="I58" s="102" t="b">
        <v>0</v>
      </c>
      <c r="J58" s="102" t="b">
        <v>0</v>
      </c>
      <c r="K58" s="102" t="b">
        <v>0</v>
      </c>
      <c r="L58" s="102" t="b">
        <v>0</v>
      </c>
    </row>
    <row r="59" spans="1:12" ht="15">
      <c r="A59" s="97" t="s">
        <v>2726</v>
      </c>
      <c r="B59" s="102" t="s">
        <v>2705</v>
      </c>
      <c r="C59" s="102">
        <v>7</v>
      </c>
      <c r="D59" s="118">
        <v>0.0028721638558847906</v>
      </c>
      <c r="E59" s="118">
        <v>2.469944680710486</v>
      </c>
      <c r="F59" s="102" t="s">
        <v>3110</v>
      </c>
      <c r="G59" s="102" t="b">
        <v>0</v>
      </c>
      <c r="H59" s="102" t="b">
        <v>0</v>
      </c>
      <c r="I59" s="102" t="b">
        <v>0</v>
      </c>
      <c r="J59" s="102" t="b">
        <v>0</v>
      </c>
      <c r="K59" s="102" t="b">
        <v>0</v>
      </c>
      <c r="L59" s="102" t="b">
        <v>0</v>
      </c>
    </row>
    <row r="60" spans="1:12" ht="15">
      <c r="A60" s="97" t="s">
        <v>2705</v>
      </c>
      <c r="B60" s="102" t="s">
        <v>2661</v>
      </c>
      <c r="C60" s="102">
        <v>7</v>
      </c>
      <c r="D60" s="118">
        <v>0.0028721638558847906</v>
      </c>
      <c r="E60" s="118">
        <v>1.7965287808468555</v>
      </c>
      <c r="F60" s="102" t="s">
        <v>3110</v>
      </c>
      <c r="G60" s="102" t="b">
        <v>0</v>
      </c>
      <c r="H60" s="102" t="b">
        <v>0</v>
      </c>
      <c r="I60" s="102" t="b">
        <v>0</v>
      </c>
      <c r="J60" s="102" t="b">
        <v>0</v>
      </c>
      <c r="K60" s="102" t="b">
        <v>0</v>
      </c>
      <c r="L60" s="102" t="b">
        <v>0</v>
      </c>
    </row>
    <row r="61" spans="1:12" ht="15">
      <c r="A61" s="97" t="s">
        <v>2661</v>
      </c>
      <c r="B61" s="102" t="s">
        <v>2704</v>
      </c>
      <c r="C61" s="102">
        <v>7</v>
      </c>
      <c r="D61" s="118">
        <v>0.0028721638558847906</v>
      </c>
      <c r="E61" s="118">
        <v>1.7751306361456252</v>
      </c>
      <c r="F61" s="102" t="s">
        <v>3110</v>
      </c>
      <c r="G61" s="102" t="b">
        <v>0</v>
      </c>
      <c r="H61" s="102" t="b">
        <v>0</v>
      </c>
      <c r="I61" s="102" t="b">
        <v>0</v>
      </c>
      <c r="J61" s="102" t="b">
        <v>0</v>
      </c>
      <c r="K61" s="102" t="b">
        <v>0</v>
      </c>
      <c r="L61" s="102" t="b">
        <v>0</v>
      </c>
    </row>
    <row r="62" spans="1:12" ht="15">
      <c r="A62" s="97" t="s">
        <v>2704</v>
      </c>
      <c r="B62" s="102" t="s">
        <v>2715</v>
      </c>
      <c r="C62" s="102">
        <v>7</v>
      </c>
      <c r="D62" s="118">
        <v>0.0028721638558847906</v>
      </c>
      <c r="E62" s="118">
        <v>2.3771906274735874</v>
      </c>
      <c r="F62" s="102" t="s">
        <v>3110</v>
      </c>
      <c r="G62" s="102" t="b">
        <v>0</v>
      </c>
      <c r="H62" s="102" t="b">
        <v>0</v>
      </c>
      <c r="I62" s="102" t="b">
        <v>0</v>
      </c>
      <c r="J62" s="102" t="b">
        <v>0</v>
      </c>
      <c r="K62" s="102" t="b">
        <v>0</v>
      </c>
      <c r="L62" s="102" t="b">
        <v>0</v>
      </c>
    </row>
    <row r="63" spans="1:12" ht="15">
      <c r="A63" s="97" t="s">
        <v>2715</v>
      </c>
      <c r="B63" s="102" t="s">
        <v>2727</v>
      </c>
      <c r="C63" s="102">
        <v>7</v>
      </c>
      <c r="D63" s="118">
        <v>0.0028721638558847906</v>
      </c>
      <c r="E63" s="118">
        <v>2.6460359397661675</v>
      </c>
      <c r="F63" s="102" t="s">
        <v>3110</v>
      </c>
      <c r="G63" s="102" t="b">
        <v>0</v>
      </c>
      <c r="H63" s="102" t="b">
        <v>0</v>
      </c>
      <c r="I63" s="102" t="b">
        <v>0</v>
      </c>
      <c r="J63" s="102" t="b">
        <v>0</v>
      </c>
      <c r="K63" s="102" t="b">
        <v>0</v>
      </c>
      <c r="L63" s="102" t="b">
        <v>0</v>
      </c>
    </row>
    <row r="64" spans="1:12" ht="15">
      <c r="A64" s="97" t="s">
        <v>2727</v>
      </c>
      <c r="B64" s="102" t="s">
        <v>2728</v>
      </c>
      <c r="C64" s="102">
        <v>7</v>
      </c>
      <c r="D64" s="118">
        <v>0.0028721638558847906</v>
      </c>
      <c r="E64" s="118">
        <v>2.7040278867438543</v>
      </c>
      <c r="F64" s="102" t="s">
        <v>3110</v>
      </c>
      <c r="G64" s="102" t="b">
        <v>0</v>
      </c>
      <c r="H64" s="102" t="b">
        <v>0</v>
      </c>
      <c r="I64" s="102" t="b">
        <v>0</v>
      </c>
      <c r="J64" s="102" t="b">
        <v>0</v>
      </c>
      <c r="K64" s="102" t="b">
        <v>0</v>
      </c>
      <c r="L64" s="102" t="b">
        <v>0</v>
      </c>
    </row>
    <row r="65" spans="1:12" ht="15">
      <c r="A65" s="97" t="s">
        <v>2728</v>
      </c>
      <c r="B65" s="102" t="s">
        <v>2663</v>
      </c>
      <c r="C65" s="102">
        <v>7</v>
      </c>
      <c r="D65" s="118">
        <v>0.0028721638558847906</v>
      </c>
      <c r="E65" s="118">
        <v>2.043975948438205</v>
      </c>
      <c r="F65" s="102" t="s">
        <v>3110</v>
      </c>
      <c r="G65" s="102" t="b">
        <v>0</v>
      </c>
      <c r="H65" s="102" t="b">
        <v>0</v>
      </c>
      <c r="I65" s="102" t="b">
        <v>0</v>
      </c>
      <c r="J65" s="102" t="b">
        <v>0</v>
      </c>
      <c r="K65" s="102" t="b">
        <v>0</v>
      </c>
      <c r="L65" s="102" t="b">
        <v>0</v>
      </c>
    </row>
    <row r="66" spans="1:12" ht="15">
      <c r="A66" s="97" t="s">
        <v>712</v>
      </c>
      <c r="B66" s="102" t="s">
        <v>2713</v>
      </c>
      <c r="C66" s="102">
        <v>6</v>
      </c>
      <c r="D66" s="118">
        <v>0.002567755270864066</v>
      </c>
      <c r="E66" s="118">
        <v>1.1408859614462614</v>
      </c>
      <c r="F66" s="102" t="s">
        <v>3110</v>
      </c>
      <c r="G66" s="102" t="b">
        <v>0</v>
      </c>
      <c r="H66" s="102" t="b">
        <v>0</v>
      </c>
      <c r="I66" s="102" t="b">
        <v>0</v>
      </c>
      <c r="J66" s="102" t="b">
        <v>0</v>
      </c>
      <c r="K66" s="102" t="b">
        <v>0</v>
      </c>
      <c r="L66" s="102" t="b">
        <v>0</v>
      </c>
    </row>
    <row r="67" spans="1:12" ht="15">
      <c r="A67" s="97" t="s">
        <v>2735</v>
      </c>
      <c r="B67" s="102" t="s">
        <v>2736</v>
      </c>
      <c r="C67" s="102">
        <v>6</v>
      </c>
      <c r="D67" s="118">
        <v>0.002567755270864066</v>
      </c>
      <c r="E67" s="118">
        <v>2.7709746763744674</v>
      </c>
      <c r="F67" s="102" t="s">
        <v>3110</v>
      </c>
      <c r="G67" s="102" t="b">
        <v>0</v>
      </c>
      <c r="H67" s="102" t="b">
        <v>1</v>
      </c>
      <c r="I67" s="102" t="b">
        <v>0</v>
      </c>
      <c r="J67" s="102" t="b">
        <v>0</v>
      </c>
      <c r="K67" s="102" t="b">
        <v>0</v>
      </c>
      <c r="L67" s="102" t="b">
        <v>0</v>
      </c>
    </row>
    <row r="68" spans="1:12" ht="15">
      <c r="A68" s="97" t="s">
        <v>2682</v>
      </c>
      <c r="B68" s="102" t="s">
        <v>2717</v>
      </c>
      <c r="C68" s="102">
        <v>6</v>
      </c>
      <c r="D68" s="118">
        <v>0.002567755270864066</v>
      </c>
      <c r="E68" s="118">
        <v>2.306087878071817</v>
      </c>
      <c r="F68" s="102" t="s">
        <v>3110</v>
      </c>
      <c r="G68" s="102" t="b">
        <v>0</v>
      </c>
      <c r="H68" s="102" t="b">
        <v>0</v>
      </c>
      <c r="I68" s="102" t="b">
        <v>0</v>
      </c>
      <c r="J68" s="102" t="b">
        <v>0</v>
      </c>
      <c r="K68" s="102" t="b">
        <v>0</v>
      </c>
      <c r="L68" s="102" t="b">
        <v>0</v>
      </c>
    </row>
    <row r="69" spans="1:12" ht="15">
      <c r="A69" s="97" t="s">
        <v>458</v>
      </c>
      <c r="B69" s="102" t="s">
        <v>712</v>
      </c>
      <c r="C69" s="102">
        <v>6</v>
      </c>
      <c r="D69" s="118">
        <v>0.002567755270864066</v>
      </c>
      <c r="E69" s="118">
        <v>0.648212859020442</v>
      </c>
      <c r="F69" s="102" t="s">
        <v>3110</v>
      </c>
      <c r="G69" s="102" t="b">
        <v>0</v>
      </c>
      <c r="H69" s="102" t="b">
        <v>0</v>
      </c>
      <c r="I69" s="102" t="b">
        <v>0</v>
      </c>
      <c r="J69" s="102" t="b">
        <v>0</v>
      </c>
      <c r="K69" s="102" t="b">
        <v>0</v>
      </c>
      <c r="L69" s="102" t="b">
        <v>0</v>
      </c>
    </row>
    <row r="70" spans="1:12" ht="15">
      <c r="A70" s="97" t="s">
        <v>2674</v>
      </c>
      <c r="B70" s="102" t="s">
        <v>2660</v>
      </c>
      <c r="C70" s="102">
        <v>6</v>
      </c>
      <c r="D70" s="118">
        <v>0.002567755270864066</v>
      </c>
      <c r="E70" s="118">
        <v>1.402997891079873</v>
      </c>
      <c r="F70" s="102" t="s">
        <v>3110</v>
      </c>
      <c r="G70" s="102" t="b">
        <v>0</v>
      </c>
      <c r="H70" s="102" t="b">
        <v>0</v>
      </c>
      <c r="I70" s="102" t="b">
        <v>0</v>
      </c>
      <c r="J70" s="102" t="b">
        <v>0</v>
      </c>
      <c r="K70" s="102" t="b">
        <v>0</v>
      </c>
      <c r="L70" s="102" t="b">
        <v>0</v>
      </c>
    </row>
    <row r="71" spans="1:12" ht="15">
      <c r="A71" s="97" t="s">
        <v>2738</v>
      </c>
      <c r="B71" s="102" t="s">
        <v>2748</v>
      </c>
      <c r="C71" s="102">
        <v>5</v>
      </c>
      <c r="D71" s="118">
        <v>0.002371922685807516</v>
      </c>
      <c r="E71" s="118">
        <v>2.7709746763744674</v>
      </c>
      <c r="F71" s="102" t="s">
        <v>3110</v>
      </c>
      <c r="G71" s="102" t="b">
        <v>0</v>
      </c>
      <c r="H71" s="102" t="b">
        <v>0</v>
      </c>
      <c r="I71" s="102" t="b">
        <v>0</v>
      </c>
      <c r="J71" s="102" t="b">
        <v>0</v>
      </c>
      <c r="K71" s="102" t="b">
        <v>0</v>
      </c>
      <c r="L71" s="102" t="b">
        <v>0</v>
      </c>
    </row>
    <row r="72" spans="1:12" ht="15">
      <c r="A72" s="97" t="s">
        <v>2710</v>
      </c>
      <c r="B72" s="102" t="s">
        <v>2750</v>
      </c>
      <c r="C72" s="102">
        <v>5</v>
      </c>
      <c r="D72" s="118">
        <v>0.0022441741846105</v>
      </c>
      <c r="E72" s="118">
        <v>2.594883417318786</v>
      </c>
      <c r="F72" s="102" t="s">
        <v>3110</v>
      </c>
      <c r="G72" s="102" t="b">
        <v>0</v>
      </c>
      <c r="H72" s="102" t="b">
        <v>0</v>
      </c>
      <c r="I72" s="102" t="b">
        <v>0</v>
      </c>
      <c r="J72" s="102" t="b">
        <v>0</v>
      </c>
      <c r="K72" s="102" t="b">
        <v>0</v>
      </c>
      <c r="L72" s="102" t="b">
        <v>0</v>
      </c>
    </row>
    <row r="73" spans="1:12" ht="15">
      <c r="A73" s="97" t="s">
        <v>2750</v>
      </c>
      <c r="B73" s="102" t="s">
        <v>2751</v>
      </c>
      <c r="C73" s="102">
        <v>5</v>
      </c>
      <c r="D73" s="118">
        <v>0.0022441741846105</v>
      </c>
      <c r="E73" s="118">
        <v>2.850155922422092</v>
      </c>
      <c r="F73" s="102" t="s">
        <v>3110</v>
      </c>
      <c r="G73" s="102" t="b">
        <v>0</v>
      </c>
      <c r="H73" s="102" t="b">
        <v>0</v>
      </c>
      <c r="I73" s="102" t="b">
        <v>0</v>
      </c>
      <c r="J73" s="102" t="b">
        <v>0</v>
      </c>
      <c r="K73" s="102" t="b">
        <v>0</v>
      </c>
      <c r="L73" s="102" t="b">
        <v>0</v>
      </c>
    </row>
    <row r="74" spans="1:12" ht="15">
      <c r="A74" s="97" t="s">
        <v>338</v>
      </c>
      <c r="B74" s="102" t="s">
        <v>2669</v>
      </c>
      <c r="C74" s="102">
        <v>5</v>
      </c>
      <c r="D74" s="118">
        <v>0.0022441741846105</v>
      </c>
      <c r="E74" s="118">
        <v>1.8415557506601747</v>
      </c>
      <c r="F74" s="102" t="s">
        <v>3110</v>
      </c>
      <c r="G74" s="102" t="b">
        <v>0</v>
      </c>
      <c r="H74" s="102" t="b">
        <v>0</v>
      </c>
      <c r="I74" s="102" t="b">
        <v>0</v>
      </c>
      <c r="J74" s="102" t="b">
        <v>0</v>
      </c>
      <c r="K74" s="102" t="b">
        <v>0</v>
      </c>
      <c r="L74" s="102" t="b">
        <v>0</v>
      </c>
    </row>
    <row r="75" spans="1:12" ht="15">
      <c r="A75" s="97" t="s">
        <v>2665</v>
      </c>
      <c r="B75" s="102" t="s">
        <v>2755</v>
      </c>
      <c r="C75" s="102">
        <v>5</v>
      </c>
      <c r="D75" s="118">
        <v>0.0022441741846105</v>
      </c>
      <c r="E75" s="118">
        <v>2.507733241599886</v>
      </c>
      <c r="F75" s="102" t="s">
        <v>3110</v>
      </c>
      <c r="G75" s="102" t="b">
        <v>0</v>
      </c>
      <c r="H75" s="102" t="b">
        <v>0</v>
      </c>
      <c r="I75" s="102" t="b">
        <v>0</v>
      </c>
      <c r="J75" s="102" t="b">
        <v>0</v>
      </c>
      <c r="K75" s="102" t="b">
        <v>0</v>
      </c>
      <c r="L75" s="102" t="b">
        <v>0</v>
      </c>
    </row>
    <row r="76" spans="1:12" ht="15">
      <c r="A76" s="97" t="s">
        <v>2755</v>
      </c>
      <c r="B76" s="102" t="s">
        <v>2756</v>
      </c>
      <c r="C76" s="102">
        <v>5</v>
      </c>
      <c r="D76" s="118">
        <v>0.0022441741846105</v>
      </c>
      <c r="E76" s="118">
        <v>2.850155922422092</v>
      </c>
      <c r="F76" s="102" t="s">
        <v>3110</v>
      </c>
      <c r="G76" s="102" t="b">
        <v>0</v>
      </c>
      <c r="H76" s="102" t="b">
        <v>0</v>
      </c>
      <c r="I76" s="102" t="b">
        <v>0</v>
      </c>
      <c r="J76" s="102" t="b">
        <v>0</v>
      </c>
      <c r="K76" s="102" t="b">
        <v>0</v>
      </c>
      <c r="L76" s="102" t="b">
        <v>0</v>
      </c>
    </row>
    <row r="77" spans="1:12" ht="15">
      <c r="A77" s="97" t="s">
        <v>2756</v>
      </c>
      <c r="B77" s="102" t="s">
        <v>2757</v>
      </c>
      <c r="C77" s="102">
        <v>5</v>
      </c>
      <c r="D77" s="118">
        <v>0.0022441741846105</v>
      </c>
      <c r="E77" s="118">
        <v>2.850155922422092</v>
      </c>
      <c r="F77" s="102" t="s">
        <v>3110</v>
      </c>
      <c r="G77" s="102" t="b">
        <v>0</v>
      </c>
      <c r="H77" s="102" t="b">
        <v>0</v>
      </c>
      <c r="I77" s="102" t="b">
        <v>0</v>
      </c>
      <c r="J77" s="102" t="b">
        <v>0</v>
      </c>
      <c r="K77" s="102" t="b">
        <v>0</v>
      </c>
      <c r="L77" s="102" t="b">
        <v>0</v>
      </c>
    </row>
    <row r="78" spans="1:12" ht="15">
      <c r="A78" s="97" t="s">
        <v>378</v>
      </c>
      <c r="B78" s="102" t="s">
        <v>433</v>
      </c>
      <c r="C78" s="102">
        <v>5</v>
      </c>
      <c r="D78" s="118">
        <v>0.0022441741846105</v>
      </c>
      <c r="E78" s="118">
        <v>2.850155922422092</v>
      </c>
      <c r="F78" s="102" t="s">
        <v>3110</v>
      </c>
      <c r="G78" s="102" t="b">
        <v>0</v>
      </c>
      <c r="H78" s="102" t="b">
        <v>0</v>
      </c>
      <c r="I78" s="102" t="b">
        <v>0</v>
      </c>
      <c r="J78" s="102" t="b">
        <v>0</v>
      </c>
      <c r="K78" s="102" t="b">
        <v>0</v>
      </c>
      <c r="L78" s="102" t="b">
        <v>0</v>
      </c>
    </row>
    <row r="79" spans="1:12" ht="15">
      <c r="A79" s="97" t="s">
        <v>2760</v>
      </c>
      <c r="B79" s="102" t="s">
        <v>2761</v>
      </c>
      <c r="C79" s="102">
        <v>5</v>
      </c>
      <c r="D79" s="118">
        <v>0.0022441741846105</v>
      </c>
      <c r="E79" s="118">
        <v>2.850155922422092</v>
      </c>
      <c r="F79" s="102" t="s">
        <v>3110</v>
      </c>
      <c r="G79" s="102" t="b">
        <v>0</v>
      </c>
      <c r="H79" s="102" t="b">
        <v>0</v>
      </c>
      <c r="I79" s="102" t="b">
        <v>0</v>
      </c>
      <c r="J79" s="102" t="b">
        <v>0</v>
      </c>
      <c r="K79" s="102" t="b">
        <v>0</v>
      </c>
      <c r="L79" s="102" t="b">
        <v>0</v>
      </c>
    </row>
    <row r="80" spans="1:12" ht="15">
      <c r="A80" s="97" t="s">
        <v>2761</v>
      </c>
      <c r="B80" s="102" t="s">
        <v>2712</v>
      </c>
      <c r="C80" s="102">
        <v>5</v>
      </c>
      <c r="D80" s="118">
        <v>0.0022441741846105</v>
      </c>
      <c r="E80" s="118">
        <v>2.594883417318786</v>
      </c>
      <c r="F80" s="102" t="s">
        <v>3110</v>
      </c>
      <c r="G80" s="102" t="b">
        <v>0</v>
      </c>
      <c r="H80" s="102" t="b">
        <v>0</v>
      </c>
      <c r="I80" s="102" t="b">
        <v>0</v>
      </c>
      <c r="J80" s="102" t="b">
        <v>0</v>
      </c>
      <c r="K80" s="102" t="b">
        <v>0</v>
      </c>
      <c r="L80" s="102" t="b">
        <v>0</v>
      </c>
    </row>
    <row r="81" spans="1:12" ht="15">
      <c r="A81" s="97" t="s">
        <v>2712</v>
      </c>
      <c r="B81" s="102" t="s">
        <v>2726</v>
      </c>
      <c r="C81" s="102">
        <v>5</v>
      </c>
      <c r="D81" s="118">
        <v>0.0022441741846105</v>
      </c>
      <c r="E81" s="118">
        <v>2.4487553816405483</v>
      </c>
      <c r="F81" s="102" t="s">
        <v>3110</v>
      </c>
      <c r="G81" s="102" t="b">
        <v>0</v>
      </c>
      <c r="H81" s="102" t="b">
        <v>0</v>
      </c>
      <c r="I81" s="102" t="b">
        <v>0</v>
      </c>
      <c r="J81" s="102" t="b">
        <v>0</v>
      </c>
      <c r="K81" s="102" t="b">
        <v>0</v>
      </c>
      <c r="L81" s="102" t="b">
        <v>0</v>
      </c>
    </row>
    <row r="82" spans="1:12" ht="15">
      <c r="A82" s="97" t="s">
        <v>712</v>
      </c>
      <c r="B82" s="102" t="s">
        <v>2762</v>
      </c>
      <c r="C82" s="102">
        <v>5</v>
      </c>
      <c r="D82" s="118">
        <v>0.0022441741846105</v>
      </c>
      <c r="E82" s="118">
        <v>1.2658246980545613</v>
      </c>
      <c r="F82" s="102" t="s">
        <v>3110</v>
      </c>
      <c r="G82" s="102" t="b">
        <v>0</v>
      </c>
      <c r="H82" s="102" t="b">
        <v>0</v>
      </c>
      <c r="I82" s="102" t="b">
        <v>0</v>
      </c>
      <c r="J82" s="102" t="b">
        <v>0</v>
      </c>
      <c r="K82" s="102" t="b">
        <v>0</v>
      </c>
      <c r="L82" s="102" t="b">
        <v>0</v>
      </c>
    </row>
    <row r="83" spans="1:12" ht="15">
      <c r="A83" s="97" t="s">
        <v>2762</v>
      </c>
      <c r="B83" s="102" t="s">
        <v>2685</v>
      </c>
      <c r="C83" s="102">
        <v>5</v>
      </c>
      <c r="D83" s="118">
        <v>0.0022441741846105</v>
      </c>
      <c r="E83" s="118">
        <v>2.402997891079873</v>
      </c>
      <c r="F83" s="102" t="s">
        <v>3110</v>
      </c>
      <c r="G83" s="102" t="b">
        <v>0</v>
      </c>
      <c r="H83" s="102" t="b">
        <v>0</v>
      </c>
      <c r="I83" s="102" t="b">
        <v>0</v>
      </c>
      <c r="J83" s="102" t="b">
        <v>0</v>
      </c>
      <c r="K83" s="102" t="b">
        <v>0</v>
      </c>
      <c r="L83" s="102" t="b">
        <v>0</v>
      </c>
    </row>
    <row r="84" spans="1:12" ht="15">
      <c r="A84" s="97" t="s">
        <v>2685</v>
      </c>
      <c r="B84" s="102" t="s">
        <v>2674</v>
      </c>
      <c r="C84" s="102">
        <v>5</v>
      </c>
      <c r="D84" s="118">
        <v>0.0022441741846105</v>
      </c>
      <c r="E84" s="118">
        <v>1.8119332840533737</v>
      </c>
      <c r="F84" s="102" t="s">
        <v>3110</v>
      </c>
      <c r="G84" s="102" t="b">
        <v>0</v>
      </c>
      <c r="H84" s="102" t="b">
        <v>0</v>
      </c>
      <c r="I84" s="102" t="b">
        <v>0</v>
      </c>
      <c r="J84" s="102" t="b">
        <v>0</v>
      </c>
      <c r="K84" s="102" t="b">
        <v>0</v>
      </c>
      <c r="L84" s="102" t="b">
        <v>0</v>
      </c>
    </row>
    <row r="85" spans="1:12" ht="15">
      <c r="A85" s="97" t="s">
        <v>372</v>
      </c>
      <c r="B85" s="102" t="s">
        <v>458</v>
      </c>
      <c r="C85" s="102">
        <v>4</v>
      </c>
      <c r="D85" s="118">
        <v>0.001897538148646013</v>
      </c>
      <c r="E85" s="118">
        <v>1.8911145301009986</v>
      </c>
      <c r="F85" s="102" t="s">
        <v>3110</v>
      </c>
      <c r="G85" s="102" t="b">
        <v>0</v>
      </c>
      <c r="H85" s="102" t="b">
        <v>0</v>
      </c>
      <c r="I85" s="102" t="b">
        <v>0</v>
      </c>
      <c r="J85" s="102" t="b">
        <v>0</v>
      </c>
      <c r="K85" s="102" t="b">
        <v>0</v>
      </c>
      <c r="L85" s="102" t="b">
        <v>0</v>
      </c>
    </row>
    <row r="86" spans="1:12" ht="15">
      <c r="A86" s="97" t="s">
        <v>450</v>
      </c>
      <c r="B86" s="102" t="s">
        <v>712</v>
      </c>
      <c r="C86" s="102">
        <v>4</v>
      </c>
      <c r="D86" s="118">
        <v>0.001897538148646013</v>
      </c>
      <c r="E86" s="118">
        <v>0.9492428546844233</v>
      </c>
      <c r="F86" s="102" t="s">
        <v>3110</v>
      </c>
      <c r="G86" s="102" t="b">
        <v>0</v>
      </c>
      <c r="H86" s="102" t="b">
        <v>0</v>
      </c>
      <c r="I86" s="102" t="b">
        <v>0</v>
      </c>
      <c r="J86" s="102" t="b">
        <v>0</v>
      </c>
      <c r="K86" s="102" t="b">
        <v>0</v>
      </c>
      <c r="L86" s="102" t="b">
        <v>0</v>
      </c>
    </row>
    <row r="87" spans="1:12" ht="15">
      <c r="A87" s="97" t="s">
        <v>712</v>
      </c>
      <c r="B87" s="102" t="s">
        <v>2735</v>
      </c>
      <c r="C87" s="102">
        <v>4</v>
      </c>
      <c r="D87" s="118">
        <v>0.001897538148646013</v>
      </c>
      <c r="E87" s="118">
        <v>1.0897334389988802</v>
      </c>
      <c r="F87" s="102" t="s">
        <v>3110</v>
      </c>
      <c r="G87" s="102" t="b">
        <v>0</v>
      </c>
      <c r="H87" s="102" t="b">
        <v>0</v>
      </c>
      <c r="I87" s="102" t="b">
        <v>0</v>
      </c>
      <c r="J87" s="102" t="b">
        <v>0</v>
      </c>
      <c r="K87" s="102" t="b">
        <v>1</v>
      </c>
      <c r="L87" s="102" t="b">
        <v>0</v>
      </c>
    </row>
    <row r="88" spans="1:12" ht="15">
      <c r="A88" s="97" t="s">
        <v>2736</v>
      </c>
      <c r="B88" s="102" t="s">
        <v>2770</v>
      </c>
      <c r="C88" s="102">
        <v>4</v>
      </c>
      <c r="D88" s="118">
        <v>0.001897538148646013</v>
      </c>
      <c r="E88" s="118">
        <v>2.9470659354301487</v>
      </c>
      <c r="F88" s="102" t="s">
        <v>3110</v>
      </c>
      <c r="G88" s="102" t="b">
        <v>0</v>
      </c>
      <c r="H88" s="102" t="b">
        <v>0</v>
      </c>
      <c r="I88" s="102" t="b">
        <v>0</v>
      </c>
      <c r="J88" s="102" t="b">
        <v>0</v>
      </c>
      <c r="K88" s="102" t="b">
        <v>0</v>
      </c>
      <c r="L88" s="102" t="b">
        <v>0</v>
      </c>
    </row>
    <row r="89" spans="1:12" ht="15">
      <c r="A89" s="97" t="s">
        <v>2770</v>
      </c>
      <c r="B89" s="102" t="s">
        <v>2771</v>
      </c>
      <c r="C89" s="102">
        <v>4</v>
      </c>
      <c r="D89" s="118">
        <v>0.001897538148646013</v>
      </c>
      <c r="E89" s="118">
        <v>2.9470659354301487</v>
      </c>
      <c r="F89" s="102" t="s">
        <v>3110</v>
      </c>
      <c r="G89" s="102" t="b">
        <v>0</v>
      </c>
      <c r="H89" s="102" t="b">
        <v>0</v>
      </c>
      <c r="I89" s="102" t="b">
        <v>0</v>
      </c>
      <c r="J89" s="102" t="b">
        <v>0</v>
      </c>
      <c r="K89" s="102" t="b">
        <v>0</v>
      </c>
      <c r="L89" s="102" t="b">
        <v>0</v>
      </c>
    </row>
    <row r="90" spans="1:12" ht="15">
      <c r="A90" s="97" t="s">
        <v>2771</v>
      </c>
      <c r="B90" s="102" t="s">
        <v>2747</v>
      </c>
      <c r="C90" s="102">
        <v>4</v>
      </c>
      <c r="D90" s="118">
        <v>0.001897538148646013</v>
      </c>
      <c r="E90" s="118">
        <v>2.850155922422092</v>
      </c>
      <c r="F90" s="102" t="s">
        <v>3110</v>
      </c>
      <c r="G90" s="102" t="b">
        <v>0</v>
      </c>
      <c r="H90" s="102" t="b">
        <v>0</v>
      </c>
      <c r="I90" s="102" t="b">
        <v>0</v>
      </c>
      <c r="J90" s="102" t="b">
        <v>0</v>
      </c>
      <c r="K90" s="102" t="b">
        <v>0</v>
      </c>
      <c r="L90" s="102" t="b">
        <v>0</v>
      </c>
    </row>
    <row r="91" spans="1:12" ht="15">
      <c r="A91" s="97" t="s">
        <v>2747</v>
      </c>
      <c r="B91" s="102" t="s">
        <v>2772</v>
      </c>
      <c r="C91" s="102">
        <v>4</v>
      </c>
      <c r="D91" s="118">
        <v>0.001897538148646013</v>
      </c>
      <c r="E91" s="118">
        <v>2.850155922422092</v>
      </c>
      <c r="F91" s="102" t="s">
        <v>3110</v>
      </c>
      <c r="G91" s="102" t="b">
        <v>0</v>
      </c>
      <c r="H91" s="102" t="b">
        <v>0</v>
      </c>
      <c r="I91" s="102" t="b">
        <v>0</v>
      </c>
      <c r="J91" s="102" t="b">
        <v>0</v>
      </c>
      <c r="K91" s="102" t="b">
        <v>0</v>
      </c>
      <c r="L91" s="102" t="b">
        <v>0</v>
      </c>
    </row>
    <row r="92" spans="1:12" ht="15">
      <c r="A92" s="97" t="s">
        <v>2772</v>
      </c>
      <c r="B92" s="102" t="s">
        <v>2773</v>
      </c>
      <c r="C92" s="102">
        <v>4</v>
      </c>
      <c r="D92" s="118">
        <v>0.001897538148646013</v>
      </c>
      <c r="E92" s="118">
        <v>2.9470659354301487</v>
      </c>
      <c r="F92" s="102" t="s">
        <v>3110</v>
      </c>
      <c r="G92" s="102" t="b">
        <v>0</v>
      </c>
      <c r="H92" s="102" t="b">
        <v>0</v>
      </c>
      <c r="I92" s="102" t="b">
        <v>0</v>
      </c>
      <c r="J92" s="102" t="b">
        <v>0</v>
      </c>
      <c r="K92" s="102" t="b">
        <v>0</v>
      </c>
      <c r="L92" s="102" t="b">
        <v>0</v>
      </c>
    </row>
    <row r="93" spans="1:12" ht="15">
      <c r="A93" s="97" t="s">
        <v>2773</v>
      </c>
      <c r="B93" s="102" t="s">
        <v>2774</v>
      </c>
      <c r="C93" s="102">
        <v>4</v>
      </c>
      <c r="D93" s="118">
        <v>0.001897538148646013</v>
      </c>
      <c r="E93" s="118">
        <v>2.9470659354301487</v>
      </c>
      <c r="F93" s="102" t="s">
        <v>3110</v>
      </c>
      <c r="G93" s="102" t="b">
        <v>0</v>
      </c>
      <c r="H93" s="102" t="b">
        <v>0</v>
      </c>
      <c r="I93" s="102" t="b">
        <v>0</v>
      </c>
      <c r="J93" s="102" t="b">
        <v>0</v>
      </c>
      <c r="K93" s="102" t="b">
        <v>0</v>
      </c>
      <c r="L93" s="102" t="b">
        <v>0</v>
      </c>
    </row>
    <row r="94" spans="1:12" ht="15">
      <c r="A94" s="97" t="s">
        <v>2774</v>
      </c>
      <c r="B94" s="102" t="s">
        <v>2775</v>
      </c>
      <c r="C94" s="102">
        <v>4</v>
      </c>
      <c r="D94" s="118">
        <v>0.001897538148646013</v>
      </c>
      <c r="E94" s="118">
        <v>2.9470659354301487</v>
      </c>
      <c r="F94" s="102" t="s">
        <v>3110</v>
      </c>
      <c r="G94" s="102" t="b">
        <v>0</v>
      </c>
      <c r="H94" s="102" t="b">
        <v>0</v>
      </c>
      <c r="I94" s="102" t="b">
        <v>0</v>
      </c>
      <c r="J94" s="102" t="b">
        <v>0</v>
      </c>
      <c r="K94" s="102" t="b">
        <v>0</v>
      </c>
      <c r="L94" s="102" t="b">
        <v>0</v>
      </c>
    </row>
    <row r="95" spans="1:12" ht="15">
      <c r="A95" s="97" t="s">
        <v>2775</v>
      </c>
      <c r="B95" s="102" t="s">
        <v>449</v>
      </c>
      <c r="C95" s="102">
        <v>4</v>
      </c>
      <c r="D95" s="118">
        <v>0.001897538148646013</v>
      </c>
      <c r="E95" s="118">
        <v>2.9470659354301487</v>
      </c>
      <c r="F95" s="102" t="s">
        <v>3110</v>
      </c>
      <c r="G95" s="102" t="b">
        <v>0</v>
      </c>
      <c r="H95" s="102" t="b">
        <v>0</v>
      </c>
      <c r="I95" s="102" t="b">
        <v>0</v>
      </c>
      <c r="J95" s="102" t="b">
        <v>0</v>
      </c>
      <c r="K95" s="102" t="b">
        <v>0</v>
      </c>
      <c r="L95" s="102" t="b">
        <v>0</v>
      </c>
    </row>
    <row r="96" spans="1:12" ht="15">
      <c r="A96" s="97" t="s">
        <v>449</v>
      </c>
      <c r="B96" s="102" t="s">
        <v>448</v>
      </c>
      <c r="C96" s="102">
        <v>4</v>
      </c>
      <c r="D96" s="118">
        <v>0.001897538148646013</v>
      </c>
      <c r="E96" s="118">
        <v>2.9470659354301487</v>
      </c>
      <c r="F96" s="102" t="s">
        <v>3110</v>
      </c>
      <c r="G96" s="102" t="b">
        <v>0</v>
      </c>
      <c r="H96" s="102" t="b">
        <v>0</v>
      </c>
      <c r="I96" s="102" t="b">
        <v>0</v>
      </c>
      <c r="J96" s="102" t="b">
        <v>0</v>
      </c>
      <c r="K96" s="102" t="b">
        <v>0</v>
      </c>
      <c r="L96" s="102" t="b">
        <v>0</v>
      </c>
    </row>
    <row r="97" spans="1:12" ht="15">
      <c r="A97" s="97" t="s">
        <v>448</v>
      </c>
      <c r="B97" s="102" t="s">
        <v>447</v>
      </c>
      <c r="C97" s="102">
        <v>4</v>
      </c>
      <c r="D97" s="118">
        <v>0.001897538148646013</v>
      </c>
      <c r="E97" s="118">
        <v>2.7040278867438543</v>
      </c>
      <c r="F97" s="102" t="s">
        <v>3110</v>
      </c>
      <c r="G97" s="102" t="b">
        <v>0</v>
      </c>
      <c r="H97" s="102" t="b">
        <v>0</v>
      </c>
      <c r="I97" s="102" t="b">
        <v>0</v>
      </c>
      <c r="J97" s="102" t="b">
        <v>0</v>
      </c>
      <c r="K97" s="102" t="b">
        <v>0</v>
      </c>
      <c r="L97" s="102" t="b">
        <v>0</v>
      </c>
    </row>
    <row r="98" spans="1:12" ht="15">
      <c r="A98" s="97" t="s">
        <v>447</v>
      </c>
      <c r="B98" s="102" t="s">
        <v>2776</v>
      </c>
      <c r="C98" s="102">
        <v>4</v>
      </c>
      <c r="D98" s="118">
        <v>0.001897538148646013</v>
      </c>
      <c r="E98" s="118">
        <v>2.9470659354301487</v>
      </c>
      <c r="F98" s="102" t="s">
        <v>3110</v>
      </c>
      <c r="G98" s="102" t="b">
        <v>0</v>
      </c>
      <c r="H98" s="102" t="b">
        <v>0</v>
      </c>
      <c r="I98" s="102" t="b">
        <v>0</v>
      </c>
      <c r="J98" s="102" t="b">
        <v>0</v>
      </c>
      <c r="K98" s="102" t="b">
        <v>0</v>
      </c>
      <c r="L98" s="102" t="b">
        <v>0</v>
      </c>
    </row>
    <row r="99" spans="1:12" ht="15">
      <c r="A99" s="97" t="s">
        <v>712</v>
      </c>
      <c r="B99" s="102" t="s">
        <v>2710</v>
      </c>
      <c r="C99" s="102">
        <v>4</v>
      </c>
      <c r="D99" s="118">
        <v>0.001897538148646013</v>
      </c>
      <c r="E99" s="118">
        <v>0.9136421799431989</v>
      </c>
      <c r="F99" s="102" t="s">
        <v>3110</v>
      </c>
      <c r="G99" s="102" t="b">
        <v>0</v>
      </c>
      <c r="H99" s="102" t="b">
        <v>0</v>
      </c>
      <c r="I99" s="102" t="b">
        <v>0</v>
      </c>
      <c r="J99" s="102" t="b">
        <v>0</v>
      </c>
      <c r="K99" s="102" t="b">
        <v>0</v>
      </c>
      <c r="L99" s="102" t="b">
        <v>0</v>
      </c>
    </row>
    <row r="100" spans="1:12" ht="15">
      <c r="A100" s="97" t="s">
        <v>433</v>
      </c>
      <c r="B100" s="102" t="s">
        <v>2793</v>
      </c>
      <c r="C100" s="102">
        <v>4</v>
      </c>
      <c r="D100" s="118">
        <v>0.001897538148646013</v>
      </c>
      <c r="E100" s="118">
        <v>2.850155922422092</v>
      </c>
      <c r="F100" s="102" t="s">
        <v>3110</v>
      </c>
      <c r="G100" s="102" t="b">
        <v>0</v>
      </c>
      <c r="H100" s="102" t="b">
        <v>0</v>
      </c>
      <c r="I100" s="102" t="b">
        <v>0</v>
      </c>
      <c r="J100" s="102" t="b">
        <v>0</v>
      </c>
      <c r="K100" s="102" t="b">
        <v>0</v>
      </c>
      <c r="L100" s="102" t="b">
        <v>0</v>
      </c>
    </row>
    <row r="101" spans="1:12" ht="15">
      <c r="A101" s="97" t="s">
        <v>2793</v>
      </c>
      <c r="B101" s="102" t="s">
        <v>2794</v>
      </c>
      <c r="C101" s="102">
        <v>4</v>
      </c>
      <c r="D101" s="118">
        <v>0.001897538148646013</v>
      </c>
      <c r="E101" s="118">
        <v>2.9470659354301487</v>
      </c>
      <c r="F101" s="102" t="s">
        <v>3110</v>
      </c>
      <c r="G101" s="102" t="b">
        <v>0</v>
      </c>
      <c r="H101" s="102" t="b">
        <v>0</v>
      </c>
      <c r="I101" s="102" t="b">
        <v>0</v>
      </c>
      <c r="J101" s="102" t="b">
        <v>0</v>
      </c>
      <c r="K101" s="102" t="b">
        <v>0</v>
      </c>
      <c r="L101" s="102" t="b">
        <v>0</v>
      </c>
    </row>
    <row r="102" spans="1:12" ht="15">
      <c r="A102" s="97" t="s">
        <v>2794</v>
      </c>
      <c r="B102" s="102" t="s">
        <v>2795</v>
      </c>
      <c r="C102" s="102">
        <v>4</v>
      </c>
      <c r="D102" s="118">
        <v>0.001897538148646013</v>
      </c>
      <c r="E102" s="118">
        <v>2.9470659354301487</v>
      </c>
      <c r="F102" s="102" t="s">
        <v>3110</v>
      </c>
      <c r="G102" s="102" t="b">
        <v>0</v>
      </c>
      <c r="H102" s="102" t="b">
        <v>0</v>
      </c>
      <c r="I102" s="102" t="b">
        <v>0</v>
      </c>
      <c r="J102" s="102" t="b">
        <v>0</v>
      </c>
      <c r="K102" s="102" t="b">
        <v>0</v>
      </c>
      <c r="L102" s="102" t="b">
        <v>0</v>
      </c>
    </row>
    <row r="103" spans="1:12" ht="15">
      <c r="A103" s="97" t="s">
        <v>2795</v>
      </c>
      <c r="B103" s="102" t="s">
        <v>2796</v>
      </c>
      <c r="C103" s="102">
        <v>4</v>
      </c>
      <c r="D103" s="118">
        <v>0.001897538148646013</v>
      </c>
      <c r="E103" s="118">
        <v>2.9470659354301487</v>
      </c>
      <c r="F103" s="102" t="s">
        <v>3110</v>
      </c>
      <c r="G103" s="102" t="b">
        <v>0</v>
      </c>
      <c r="H103" s="102" t="b">
        <v>0</v>
      </c>
      <c r="I103" s="102" t="b">
        <v>0</v>
      </c>
      <c r="J103" s="102" t="b">
        <v>0</v>
      </c>
      <c r="K103" s="102" t="b">
        <v>0</v>
      </c>
      <c r="L103" s="102" t="b">
        <v>0</v>
      </c>
    </row>
    <row r="104" spans="1:12" ht="15">
      <c r="A104" s="97" t="s">
        <v>2796</v>
      </c>
      <c r="B104" s="102" t="s">
        <v>2741</v>
      </c>
      <c r="C104" s="102">
        <v>4</v>
      </c>
      <c r="D104" s="118">
        <v>0.001897538148646013</v>
      </c>
      <c r="E104" s="118">
        <v>2.7709746763744674</v>
      </c>
      <c r="F104" s="102" t="s">
        <v>3110</v>
      </c>
      <c r="G104" s="102" t="b">
        <v>0</v>
      </c>
      <c r="H104" s="102" t="b">
        <v>0</v>
      </c>
      <c r="I104" s="102" t="b">
        <v>0</v>
      </c>
      <c r="J104" s="102" t="b">
        <v>0</v>
      </c>
      <c r="K104" s="102" t="b">
        <v>0</v>
      </c>
      <c r="L104" s="102" t="b">
        <v>0</v>
      </c>
    </row>
    <row r="105" spans="1:12" ht="15">
      <c r="A105" s="97" t="s">
        <v>2741</v>
      </c>
      <c r="B105" s="102" t="s">
        <v>2797</v>
      </c>
      <c r="C105" s="102">
        <v>4</v>
      </c>
      <c r="D105" s="118">
        <v>0.001897538148646013</v>
      </c>
      <c r="E105" s="118">
        <v>2.7709746763744674</v>
      </c>
      <c r="F105" s="102" t="s">
        <v>3110</v>
      </c>
      <c r="G105" s="102" t="b">
        <v>0</v>
      </c>
      <c r="H105" s="102" t="b">
        <v>0</v>
      </c>
      <c r="I105" s="102" t="b">
        <v>0</v>
      </c>
      <c r="J105" s="102" t="b">
        <v>0</v>
      </c>
      <c r="K105" s="102" t="b">
        <v>0</v>
      </c>
      <c r="L105" s="102" t="b">
        <v>0</v>
      </c>
    </row>
    <row r="106" spans="1:12" ht="15">
      <c r="A106" s="97" t="s">
        <v>2797</v>
      </c>
      <c r="B106" s="102" t="s">
        <v>2798</v>
      </c>
      <c r="C106" s="102">
        <v>4</v>
      </c>
      <c r="D106" s="118">
        <v>0.001897538148646013</v>
      </c>
      <c r="E106" s="118">
        <v>2.9470659354301487</v>
      </c>
      <c r="F106" s="102" t="s">
        <v>3110</v>
      </c>
      <c r="G106" s="102" t="b">
        <v>0</v>
      </c>
      <c r="H106" s="102" t="b">
        <v>0</v>
      </c>
      <c r="I106" s="102" t="b">
        <v>0</v>
      </c>
      <c r="J106" s="102" t="b">
        <v>0</v>
      </c>
      <c r="K106" s="102" t="b">
        <v>0</v>
      </c>
      <c r="L106" s="102" t="b">
        <v>0</v>
      </c>
    </row>
    <row r="107" spans="1:12" ht="15">
      <c r="A107" s="97" t="s">
        <v>2798</v>
      </c>
      <c r="B107" s="102" t="s">
        <v>2759</v>
      </c>
      <c r="C107" s="102">
        <v>4</v>
      </c>
      <c r="D107" s="118">
        <v>0.001897538148646013</v>
      </c>
      <c r="E107" s="118">
        <v>2.850155922422092</v>
      </c>
      <c r="F107" s="102" t="s">
        <v>3110</v>
      </c>
      <c r="G107" s="102" t="b">
        <v>0</v>
      </c>
      <c r="H107" s="102" t="b">
        <v>0</v>
      </c>
      <c r="I107" s="102" t="b">
        <v>0</v>
      </c>
      <c r="J107" s="102" t="b">
        <v>0</v>
      </c>
      <c r="K107" s="102" t="b">
        <v>0</v>
      </c>
      <c r="L107" s="102" t="b">
        <v>0</v>
      </c>
    </row>
    <row r="108" spans="1:12" ht="15">
      <c r="A108" s="97" t="s">
        <v>2759</v>
      </c>
      <c r="B108" s="102" t="s">
        <v>2758</v>
      </c>
      <c r="C108" s="102">
        <v>4</v>
      </c>
      <c r="D108" s="118">
        <v>0.001897538148646013</v>
      </c>
      <c r="E108" s="118">
        <v>2.753245909414036</v>
      </c>
      <c r="F108" s="102" t="s">
        <v>3110</v>
      </c>
      <c r="G108" s="102" t="b">
        <v>0</v>
      </c>
      <c r="H108" s="102" t="b">
        <v>0</v>
      </c>
      <c r="I108" s="102" t="b">
        <v>0</v>
      </c>
      <c r="J108" s="102" t="b">
        <v>0</v>
      </c>
      <c r="K108" s="102" t="b">
        <v>0</v>
      </c>
      <c r="L108" s="102" t="b">
        <v>0</v>
      </c>
    </row>
    <row r="109" spans="1:12" ht="15">
      <c r="A109" s="97" t="s">
        <v>2758</v>
      </c>
      <c r="B109" s="102" t="s">
        <v>2745</v>
      </c>
      <c r="C109" s="102">
        <v>4</v>
      </c>
      <c r="D109" s="118">
        <v>0.001897538148646013</v>
      </c>
      <c r="E109" s="118">
        <v>2.753245909414036</v>
      </c>
      <c r="F109" s="102" t="s">
        <v>3110</v>
      </c>
      <c r="G109" s="102" t="b">
        <v>0</v>
      </c>
      <c r="H109" s="102" t="b">
        <v>0</v>
      </c>
      <c r="I109" s="102" t="b">
        <v>0</v>
      </c>
      <c r="J109" s="102" t="b">
        <v>0</v>
      </c>
      <c r="K109" s="102" t="b">
        <v>0</v>
      </c>
      <c r="L109" s="102" t="b">
        <v>0</v>
      </c>
    </row>
    <row r="110" spans="1:12" ht="15">
      <c r="A110" s="97" t="s">
        <v>2745</v>
      </c>
      <c r="B110" s="102" t="s">
        <v>2799</v>
      </c>
      <c r="C110" s="102">
        <v>4</v>
      </c>
      <c r="D110" s="118">
        <v>0.001897538148646013</v>
      </c>
      <c r="E110" s="118">
        <v>2.850155922422092</v>
      </c>
      <c r="F110" s="102" t="s">
        <v>3110</v>
      </c>
      <c r="G110" s="102" t="b">
        <v>0</v>
      </c>
      <c r="H110" s="102" t="b">
        <v>0</v>
      </c>
      <c r="I110" s="102" t="b">
        <v>0</v>
      </c>
      <c r="J110" s="102" t="b">
        <v>0</v>
      </c>
      <c r="K110" s="102" t="b">
        <v>0</v>
      </c>
      <c r="L110" s="102" t="b">
        <v>0</v>
      </c>
    </row>
    <row r="111" spans="1:12" ht="15">
      <c r="A111" s="97" t="s">
        <v>2799</v>
      </c>
      <c r="B111" s="102" t="s">
        <v>712</v>
      </c>
      <c r="C111" s="102">
        <v>4</v>
      </c>
      <c r="D111" s="118">
        <v>0.001897538148646013</v>
      </c>
      <c r="E111" s="118">
        <v>1.2502728503484044</v>
      </c>
      <c r="F111" s="102" t="s">
        <v>3110</v>
      </c>
      <c r="G111" s="102" t="b">
        <v>0</v>
      </c>
      <c r="H111" s="102" t="b">
        <v>0</v>
      </c>
      <c r="I111" s="102" t="b">
        <v>0</v>
      </c>
      <c r="J111" s="102" t="b">
        <v>0</v>
      </c>
      <c r="K111" s="102" t="b">
        <v>0</v>
      </c>
      <c r="L111" s="102" t="b">
        <v>0</v>
      </c>
    </row>
    <row r="112" spans="1:12" ht="15">
      <c r="A112" s="97" t="s">
        <v>712</v>
      </c>
      <c r="B112" s="102" t="s">
        <v>2800</v>
      </c>
      <c r="C112" s="102">
        <v>4</v>
      </c>
      <c r="D112" s="118">
        <v>0.001897538148646013</v>
      </c>
      <c r="E112" s="118">
        <v>1.2658246980545613</v>
      </c>
      <c r="F112" s="102" t="s">
        <v>3110</v>
      </c>
      <c r="G112" s="102" t="b">
        <v>0</v>
      </c>
      <c r="H112" s="102" t="b">
        <v>0</v>
      </c>
      <c r="I112" s="102" t="b">
        <v>0</v>
      </c>
      <c r="J112" s="102" t="b">
        <v>0</v>
      </c>
      <c r="K112" s="102" t="b">
        <v>0</v>
      </c>
      <c r="L112" s="102" t="b">
        <v>0</v>
      </c>
    </row>
    <row r="113" spans="1:12" ht="15">
      <c r="A113" s="97" t="s">
        <v>2800</v>
      </c>
      <c r="B113" s="102" t="s">
        <v>2801</v>
      </c>
      <c r="C113" s="102">
        <v>4</v>
      </c>
      <c r="D113" s="118">
        <v>0.001897538148646013</v>
      </c>
      <c r="E113" s="118">
        <v>2.9470659354301487</v>
      </c>
      <c r="F113" s="102" t="s">
        <v>3110</v>
      </c>
      <c r="G113" s="102" t="b">
        <v>0</v>
      </c>
      <c r="H113" s="102" t="b">
        <v>0</v>
      </c>
      <c r="I113" s="102" t="b">
        <v>0</v>
      </c>
      <c r="J113" s="102" t="b">
        <v>0</v>
      </c>
      <c r="K113" s="102" t="b">
        <v>0</v>
      </c>
      <c r="L113" s="102" t="b">
        <v>0</v>
      </c>
    </row>
    <row r="114" spans="1:12" ht="15">
      <c r="A114" s="97" t="s">
        <v>2801</v>
      </c>
      <c r="B114" s="102" t="s">
        <v>2802</v>
      </c>
      <c r="C114" s="102">
        <v>4</v>
      </c>
      <c r="D114" s="118">
        <v>0.001897538148646013</v>
      </c>
      <c r="E114" s="118">
        <v>2.9470659354301487</v>
      </c>
      <c r="F114" s="102" t="s">
        <v>3110</v>
      </c>
      <c r="G114" s="102" t="b">
        <v>0</v>
      </c>
      <c r="H114" s="102" t="b">
        <v>0</v>
      </c>
      <c r="I114" s="102" t="b">
        <v>0</v>
      </c>
      <c r="J114" s="102" t="b">
        <v>0</v>
      </c>
      <c r="K114" s="102" t="b">
        <v>0</v>
      </c>
      <c r="L114" s="102" t="b">
        <v>0</v>
      </c>
    </row>
    <row r="115" spans="1:12" ht="15">
      <c r="A115" s="97" t="s">
        <v>2802</v>
      </c>
      <c r="B115" s="102" t="s">
        <v>2729</v>
      </c>
      <c r="C115" s="102">
        <v>4</v>
      </c>
      <c r="D115" s="118">
        <v>0.001897538148646013</v>
      </c>
      <c r="E115" s="118">
        <v>2.7709746763744674</v>
      </c>
      <c r="F115" s="102" t="s">
        <v>3110</v>
      </c>
      <c r="G115" s="102" t="b">
        <v>0</v>
      </c>
      <c r="H115" s="102" t="b">
        <v>0</v>
      </c>
      <c r="I115" s="102" t="b">
        <v>0</v>
      </c>
      <c r="J115" s="102" t="b">
        <v>0</v>
      </c>
      <c r="K115" s="102" t="b">
        <v>0</v>
      </c>
      <c r="L115" s="102" t="b">
        <v>0</v>
      </c>
    </row>
    <row r="116" spans="1:12" ht="15">
      <c r="A116" s="97" t="s">
        <v>2729</v>
      </c>
      <c r="B116" s="102" t="s">
        <v>2674</v>
      </c>
      <c r="C116" s="102">
        <v>4</v>
      </c>
      <c r="D116" s="118">
        <v>0.001897538148646013</v>
      </c>
      <c r="E116" s="118">
        <v>2.0508153729685104</v>
      </c>
      <c r="F116" s="102" t="s">
        <v>3110</v>
      </c>
      <c r="G116" s="102" t="b">
        <v>0</v>
      </c>
      <c r="H116" s="102" t="b">
        <v>0</v>
      </c>
      <c r="I116" s="102" t="b">
        <v>0</v>
      </c>
      <c r="J116" s="102" t="b">
        <v>0</v>
      </c>
      <c r="K116" s="102" t="b">
        <v>0</v>
      </c>
      <c r="L116" s="102" t="b">
        <v>0</v>
      </c>
    </row>
    <row r="117" spans="1:12" ht="15">
      <c r="A117" s="97" t="s">
        <v>2674</v>
      </c>
      <c r="B117" s="102" t="s">
        <v>2803</v>
      </c>
      <c r="C117" s="102">
        <v>4</v>
      </c>
      <c r="D117" s="118">
        <v>0.001897538148646013</v>
      </c>
      <c r="E117" s="118">
        <v>2.24809593109413</v>
      </c>
      <c r="F117" s="102" t="s">
        <v>3110</v>
      </c>
      <c r="G117" s="102" t="b">
        <v>0</v>
      </c>
      <c r="H117" s="102" t="b">
        <v>0</v>
      </c>
      <c r="I117" s="102" t="b">
        <v>0</v>
      </c>
      <c r="J117" s="102" t="b">
        <v>0</v>
      </c>
      <c r="K117" s="102" t="b">
        <v>0</v>
      </c>
      <c r="L117" s="102" t="b">
        <v>0</v>
      </c>
    </row>
    <row r="118" spans="1:12" ht="15">
      <c r="A118" s="97" t="s">
        <v>2803</v>
      </c>
      <c r="B118" s="102" t="s">
        <v>2804</v>
      </c>
      <c r="C118" s="102">
        <v>4</v>
      </c>
      <c r="D118" s="118">
        <v>0.001897538148646013</v>
      </c>
      <c r="E118" s="118">
        <v>2.9470659354301487</v>
      </c>
      <c r="F118" s="102" t="s">
        <v>3110</v>
      </c>
      <c r="G118" s="102" t="b">
        <v>0</v>
      </c>
      <c r="H118" s="102" t="b">
        <v>0</v>
      </c>
      <c r="I118" s="102" t="b">
        <v>0</v>
      </c>
      <c r="J118" s="102" t="b">
        <v>0</v>
      </c>
      <c r="K118" s="102" t="b">
        <v>0</v>
      </c>
      <c r="L118" s="102" t="b">
        <v>0</v>
      </c>
    </row>
    <row r="119" spans="1:12" ht="15">
      <c r="A119" s="97" t="s">
        <v>2744</v>
      </c>
      <c r="B119" s="102" t="s">
        <v>2744</v>
      </c>
      <c r="C119" s="102">
        <v>4</v>
      </c>
      <c r="D119" s="118">
        <v>0.0022149966202136178</v>
      </c>
      <c r="E119" s="118">
        <v>2.7709746763744674</v>
      </c>
      <c r="F119" s="102" t="s">
        <v>3110</v>
      </c>
      <c r="G119" s="102" t="b">
        <v>0</v>
      </c>
      <c r="H119" s="102" t="b">
        <v>0</v>
      </c>
      <c r="I119" s="102" t="b">
        <v>0</v>
      </c>
      <c r="J119" s="102" t="b">
        <v>0</v>
      </c>
      <c r="K119" s="102" t="b">
        <v>0</v>
      </c>
      <c r="L119" s="102" t="b">
        <v>0</v>
      </c>
    </row>
    <row r="120" spans="1:12" ht="15">
      <c r="A120" s="97" t="s">
        <v>2816</v>
      </c>
      <c r="B120" s="102" t="s">
        <v>712</v>
      </c>
      <c r="C120" s="102">
        <v>3</v>
      </c>
      <c r="D120" s="118">
        <v>0.0015219714891077365</v>
      </c>
      <c r="E120" s="118">
        <v>1.2502728503484044</v>
      </c>
      <c r="F120" s="102" t="s">
        <v>3110</v>
      </c>
      <c r="G120" s="102" t="b">
        <v>0</v>
      </c>
      <c r="H120" s="102" t="b">
        <v>0</v>
      </c>
      <c r="I120" s="102" t="b">
        <v>0</v>
      </c>
      <c r="J120" s="102" t="b">
        <v>0</v>
      </c>
      <c r="K120" s="102" t="b">
        <v>0</v>
      </c>
      <c r="L120" s="102" t="b">
        <v>0</v>
      </c>
    </row>
    <row r="121" spans="1:12" ht="15">
      <c r="A121" s="97" t="s">
        <v>501</v>
      </c>
      <c r="B121" s="102" t="s">
        <v>2818</v>
      </c>
      <c r="C121" s="102">
        <v>3</v>
      </c>
      <c r="D121" s="118">
        <v>0.0015219714891077365</v>
      </c>
      <c r="E121" s="118">
        <v>2.850155922422092</v>
      </c>
      <c r="F121" s="102" t="s">
        <v>3110</v>
      </c>
      <c r="G121" s="102" t="b">
        <v>0</v>
      </c>
      <c r="H121" s="102" t="b">
        <v>0</v>
      </c>
      <c r="I121" s="102" t="b">
        <v>0</v>
      </c>
      <c r="J121" s="102" t="b">
        <v>0</v>
      </c>
      <c r="K121" s="102" t="b">
        <v>0</v>
      </c>
      <c r="L121" s="102" t="b">
        <v>0</v>
      </c>
    </row>
    <row r="122" spans="1:12" ht="15">
      <c r="A122" s="97" t="s">
        <v>2818</v>
      </c>
      <c r="B122" s="102" t="s">
        <v>2819</v>
      </c>
      <c r="C122" s="102">
        <v>3</v>
      </c>
      <c r="D122" s="118">
        <v>0.0015219714891077365</v>
      </c>
      <c r="E122" s="118">
        <v>3.0720046720384486</v>
      </c>
      <c r="F122" s="102" t="s">
        <v>3110</v>
      </c>
      <c r="G122" s="102" t="b">
        <v>0</v>
      </c>
      <c r="H122" s="102" t="b">
        <v>0</v>
      </c>
      <c r="I122" s="102" t="b">
        <v>0</v>
      </c>
      <c r="J122" s="102" t="b">
        <v>0</v>
      </c>
      <c r="K122" s="102" t="b">
        <v>0</v>
      </c>
      <c r="L122" s="102" t="b">
        <v>0</v>
      </c>
    </row>
    <row r="123" spans="1:12" ht="15">
      <c r="A123" s="97" t="s">
        <v>2819</v>
      </c>
      <c r="B123" s="102" t="s">
        <v>2820</v>
      </c>
      <c r="C123" s="102">
        <v>3</v>
      </c>
      <c r="D123" s="118">
        <v>0.0015219714891077365</v>
      </c>
      <c r="E123" s="118">
        <v>3.0720046720384486</v>
      </c>
      <c r="F123" s="102" t="s">
        <v>3110</v>
      </c>
      <c r="G123" s="102" t="b">
        <v>0</v>
      </c>
      <c r="H123" s="102" t="b">
        <v>0</v>
      </c>
      <c r="I123" s="102" t="b">
        <v>0</v>
      </c>
      <c r="J123" s="102" t="b">
        <v>0</v>
      </c>
      <c r="K123" s="102" t="b">
        <v>0</v>
      </c>
      <c r="L123" s="102" t="b">
        <v>0</v>
      </c>
    </row>
    <row r="124" spans="1:12" ht="15">
      <c r="A124" s="97" t="s">
        <v>2820</v>
      </c>
      <c r="B124" s="102" t="s">
        <v>2821</v>
      </c>
      <c r="C124" s="102">
        <v>3</v>
      </c>
      <c r="D124" s="118">
        <v>0.0015219714891077365</v>
      </c>
      <c r="E124" s="118">
        <v>3.0720046720384486</v>
      </c>
      <c r="F124" s="102" t="s">
        <v>3110</v>
      </c>
      <c r="G124" s="102" t="b">
        <v>0</v>
      </c>
      <c r="H124" s="102" t="b">
        <v>0</v>
      </c>
      <c r="I124" s="102" t="b">
        <v>0</v>
      </c>
      <c r="J124" s="102" t="b">
        <v>0</v>
      </c>
      <c r="K124" s="102" t="b">
        <v>0</v>
      </c>
      <c r="L124" s="102" t="b">
        <v>0</v>
      </c>
    </row>
    <row r="125" spans="1:12" ht="15">
      <c r="A125" s="97" t="s">
        <v>2821</v>
      </c>
      <c r="B125" s="102" t="s">
        <v>2822</v>
      </c>
      <c r="C125" s="102">
        <v>3</v>
      </c>
      <c r="D125" s="118">
        <v>0.0015219714891077365</v>
      </c>
      <c r="E125" s="118">
        <v>3.0720046720384486</v>
      </c>
      <c r="F125" s="102" t="s">
        <v>3110</v>
      </c>
      <c r="G125" s="102" t="b">
        <v>0</v>
      </c>
      <c r="H125" s="102" t="b">
        <v>0</v>
      </c>
      <c r="I125" s="102" t="b">
        <v>0</v>
      </c>
      <c r="J125" s="102" t="b">
        <v>0</v>
      </c>
      <c r="K125" s="102" t="b">
        <v>0</v>
      </c>
      <c r="L125" s="102" t="b">
        <v>0</v>
      </c>
    </row>
    <row r="126" spans="1:12" ht="15">
      <c r="A126" s="97" t="s">
        <v>2822</v>
      </c>
      <c r="B126" s="102" t="s">
        <v>2823</v>
      </c>
      <c r="C126" s="102">
        <v>3</v>
      </c>
      <c r="D126" s="118">
        <v>0.0015219714891077365</v>
      </c>
      <c r="E126" s="118">
        <v>3.0720046720384486</v>
      </c>
      <c r="F126" s="102" t="s">
        <v>3110</v>
      </c>
      <c r="G126" s="102" t="b">
        <v>0</v>
      </c>
      <c r="H126" s="102" t="b">
        <v>0</v>
      </c>
      <c r="I126" s="102" t="b">
        <v>0</v>
      </c>
      <c r="J126" s="102" t="b">
        <v>0</v>
      </c>
      <c r="K126" s="102" t="b">
        <v>0</v>
      </c>
      <c r="L126" s="102" t="b">
        <v>0</v>
      </c>
    </row>
    <row r="127" spans="1:12" ht="15">
      <c r="A127" s="97" t="s">
        <v>2823</v>
      </c>
      <c r="B127" s="102" t="s">
        <v>2824</v>
      </c>
      <c r="C127" s="102">
        <v>3</v>
      </c>
      <c r="D127" s="118">
        <v>0.0015219714891077365</v>
      </c>
      <c r="E127" s="118">
        <v>3.0720046720384486</v>
      </c>
      <c r="F127" s="102" t="s">
        <v>3110</v>
      </c>
      <c r="G127" s="102" t="b">
        <v>0</v>
      </c>
      <c r="H127" s="102" t="b">
        <v>0</v>
      </c>
      <c r="I127" s="102" t="b">
        <v>0</v>
      </c>
      <c r="J127" s="102" t="b">
        <v>0</v>
      </c>
      <c r="K127" s="102" t="b">
        <v>0</v>
      </c>
      <c r="L127" s="102" t="b">
        <v>0</v>
      </c>
    </row>
    <row r="128" spans="1:12" ht="15">
      <c r="A128" s="97" t="s">
        <v>2824</v>
      </c>
      <c r="B128" s="102" t="s">
        <v>2825</v>
      </c>
      <c r="C128" s="102">
        <v>3</v>
      </c>
      <c r="D128" s="118">
        <v>0.0015219714891077365</v>
      </c>
      <c r="E128" s="118">
        <v>3.0720046720384486</v>
      </c>
      <c r="F128" s="102" t="s">
        <v>3110</v>
      </c>
      <c r="G128" s="102" t="b">
        <v>0</v>
      </c>
      <c r="H128" s="102" t="b">
        <v>0</v>
      </c>
      <c r="I128" s="102" t="b">
        <v>0</v>
      </c>
      <c r="J128" s="102" t="b">
        <v>0</v>
      </c>
      <c r="K128" s="102" t="b">
        <v>0</v>
      </c>
      <c r="L128" s="102" t="b">
        <v>0</v>
      </c>
    </row>
    <row r="129" spans="1:12" ht="15">
      <c r="A129" s="97" t="s">
        <v>2825</v>
      </c>
      <c r="B129" s="102" t="s">
        <v>2768</v>
      </c>
      <c r="C129" s="102">
        <v>3</v>
      </c>
      <c r="D129" s="118">
        <v>0.0015219714891077365</v>
      </c>
      <c r="E129" s="118">
        <v>2.9470659354301487</v>
      </c>
      <c r="F129" s="102" t="s">
        <v>3110</v>
      </c>
      <c r="G129" s="102" t="b">
        <v>0</v>
      </c>
      <c r="H129" s="102" t="b">
        <v>0</v>
      </c>
      <c r="I129" s="102" t="b">
        <v>0</v>
      </c>
      <c r="J129" s="102" t="b">
        <v>0</v>
      </c>
      <c r="K129" s="102" t="b">
        <v>0</v>
      </c>
      <c r="L129" s="102" t="b">
        <v>0</v>
      </c>
    </row>
    <row r="130" spans="1:12" ht="15">
      <c r="A130" s="97" t="s">
        <v>2768</v>
      </c>
      <c r="B130" s="102" t="s">
        <v>2826</v>
      </c>
      <c r="C130" s="102">
        <v>3</v>
      </c>
      <c r="D130" s="118">
        <v>0.0015219714891077365</v>
      </c>
      <c r="E130" s="118">
        <v>2.9470659354301487</v>
      </c>
      <c r="F130" s="102" t="s">
        <v>3110</v>
      </c>
      <c r="G130" s="102" t="b">
        <v>0</v>
      </c>
      <c r="H130" s="102" t="b">
        <v>0</v>
      </c>
      <c r="I130" s="102" t="b">
        <v>0</v>
      </c>
      <c r="J130" s="102" t="b">
        <v>0</v>
      </c>
      <c r="K130" s="102" t="b">
        <v>0</v>
      </c>
      <c r="L130" s="102" t="b">
        <v>0</v>
      </c>
    </row>
    <row r="131" spans="1:12" ht="15">
      <c r="A131" s="97" t="s">
        <v>2826</v>
      </c>
      <c r="B131" s="102" t="s">
        <v>2827</v>
      </c>
      <c r="C131" s="102">
        <v>3</v>
      </c>
      <c r="D131" s="118">
        <v>0.0015219714891077365</v>
      </c>
      <c r="E131" s="118">
        <v>3.0720046720384486</v>
      </c>
      <c r="F131" s="102" t="s">
        <v>3110</v>
      </c>
      <c r="G131" s="102" t="b">
        <v>0</v>
      </c>
      <c r="H131" s="102" t="b">
        <v>0</v>
      </c>
      <c r="I131" s="102" t="b">
        <v>0</v>
      </c>
      <c r="J131" s="102" t="b">
        <v>0</v>
      </c>
      <c r="K131" s="102" t="b">
        <v>0</v>
      </c>
      <c r="L131" s="102" t="b">
        <v>0</v>
      </c>
    </row>
    <row r="132" spans="1:12" ht="15">
      <c r="A132" s="97" t="s">
        <v>2827</v>
      </c>
      <c r="B132" s="102" t="s">
        <v>2677</v>
      </c>
      <c r="C132" s="102">
        <v>3</v>
      </c>
      <c r="D132" s="118">
        <v>0.0015219714891077365</v>
      </c>
      <c r="E132" s="118">
        <v>2.2938534216548048</v>
      </c>
      <c r="F132" s="102" t="s">
        <v>3110</v>
      </c>
      <c r="G132" s="102" t="b">
        <v>0</v>
      </c>
      <c r="H132" s="102" t="b">
        <v>0</v>
      </c>
      <c r="I132" s="102" t="b">
        <v>0</v>
      </c>
      <c r="J132" s="102" t="b">
        <v>0</v>
      </c>
      <c r="K132" s="102" t="b">
        <v>0</v>
      </c>
      <c r="L132" s="102" t="b">
        <v>0</v>
      </c>
    </row>
    <row r="133" spans="1:12" ht="15">
      <c r="A133" s="97" t="s">
        <v>2677</v>
      </c>
      <c r="B133" s="102" t="s">
        <v>2828</v>
      </c>
      <c r="C133" s="102">
        <v>3</v>
      </c>
      <c r="D133" s="118">
        <v>0.0015219714891077365</v>
      </c>
      <c r="E133" s="118">
        <v>2.2938534216548048</v>
      </c>
      <c r="F133" s="102" t="s">
        <v>3110</v>
      </c>
      <c r="G133" s="102" t="b">
        <v>0</v>
      </c>
      <c r="H133" s="102" t="b">
        <v>0</v>
      </c>
      <c r="I133" s="102" t="b">
        <v>0</v>
      </c>
      <c r="J133" s="102" t="b">
        <v>0</v>
      </c>
      <c r="K133" s="102" t="b">
        <v>0</v>
      </c>
      <c r="L133" s="102" t="b">
        <v>0</v>
      </c>
    </row>
    <row r="134" spans="1:12" ht="15">
      <c r="A134" s="97" t="s">
        <v>2828</v>
      </c>
      <c r="B134" s="102" t="s">
        <v>2680</v>
      </c>
      <c r="C134" s="102">
        <v>3</v>
      </c>
      <c r="D134" s="118">
        <v>0.0015219714891077365</v>
      </c>
      <c r="E134" s="118">
        <v>2.318677005379837</v>
      </c>
      <c r="F134" s="102" t="s">
        <v>3110</v>
      </c>
      <c r="G134" s="102" t="b">
        <v>0</v>
      </c>
      <c r="H134" s="102" t="b">
        <v>0</v>
      </c>
      <c r="I134" s="102" t="b">
        <v>0</v>
      </c>
      <c r="J134" s="102" t="b">
        <v>0</v>
      </c>
      <c r="K134" s="102" t="b">
        <v>0</v>
      </c>
      <c r="L134" s="102" t="b">
        <v>0</v>
      </c>
    </row>
    <row r="135" spans="1:12" ht="15">
      <c r="A135" s="97" t="s">
        <v>2680</v>
      </c>
      <c r="B135" s="102" t="s">
        <v>2769</v>
      </c>
      <c r="C135" s="102">
        <v>3</v>
      </c>
      <c r="D135" s="118">
        <v>0.0015219714891077365</v>
      </c>
      <c r="E135" s="118">
        <v>2.193738268771537</v>
      </c>
      <c r="F135" s="102" t="s">
        <v>3110</v>
      </c>
      <c r="G135" s="102" t="b">
        <v>0</v>
      </c>
      <c r="H135" s="102" t="b">
        <v>0</v>
      </c>
      <c r="I135" s="102" t="b">
        <v>0</v>
      </c>
      <c r="J135" s="102" t="b">
        <v>0</v>
      </c>
      <c r="K135" s="102" t="b">
        <v>0</v>
      </c>
      <c r="L135" s="102" t="b">
        <v>0</v>
      </c>
    </row>
    <row r="136" spans="1:12" ht="15">
      <c r="A136" s="97" t="s">
        <v>2769</v>
      </c>
      <c r="B136" s="102" t="s">
        <v>2829</v>
      </c>
      <c r="C136" s="102">
        <v>3</v>
      </c>
      <c r="D136" s="118">
        <v>0.0015219714891077365</v>
      </c>
      <c r="E136" s="118">
        <v>2.9470659354301487</v>
      </c>
      <c r="F136" s="102" t="s">
        <v>3110</v>
      </c>
      <c r="G136" s="102" t="b">
        <v>0</v>
      </c>
      <c r="H136" s="102" t="b">
        <v>0</v>
      </c>
      <c r="I136" s="102" t="b">
        <v>0</v>
      </c>
      <c r="J136" s="102" t="b">
        <v>0</v>
      </c>
      <c r="K136" s="102" t="b">
        <v>0</v>
      </c>
      <c r="L136" s="102" t="b">
        <v>0</v>
      </c>
    </row>
    <row r="137" spans="1:12" ht="15">
      <c r="A137" s="97" t="s">
        <v>2829</v>
      </c>
      <c r="B137" s="102" t="s">
        <v>2830</v>
      </c>
      <c r="C137" s="102">
        <v>3</v>
      </c>
      <c r="D137" s="118">
        <v>0.0015219714891077365</v>
      </c>
      <c r="E137" s="118">
        <v>3.0720046720384486</v>
      </c>
      <c r="F137" s="102" t="s">
        <v>3110</v>
      </c>
      <c r="G137" s="102" t="b">
        <v>0</v>
      </c>
      <c r="H137" s="102" t="b">
        <v>0</v>
      </c>
      <c r="I137" s="102" t="b">
        <v>0</v>
      </c>
      <c r="J137" s="102" t="b">
        <v>0</v>
      </c>
      <c r="K137" s="102" t="b">
        <v>0</v>
      </c>
      <c r="L137" s="102" t="b">
        <v>0</v>
      </c>
    </row>
    <row r="138" spans="1:12" ht="15">
      <c r="A138" s="97" t="s">
        <v>2830</v>
      </c>
      <c r="B138" s="102" t="s">
        <v>2831</v>
      </c>
      <c r="C138" s="102">
        <v>3</v>
      </c>
      <c r="D138" s="118">
        <v>0.0015219714891077365</v>
      </c>
      <c r="E138" s="118">
        <v>3.0720046720384486</v>
      </c>
      <c r="F138" s="102" t="s">
        <v>3110</v>
      </c>
      <c r="G138" s="102" t="b">
        <v>0</v>
      </c>
      <c r="H138" s="102" t="b">
        <v>0</v>
      </c>
      <c r="I138" s="102" t="b">
        <v>0</v>
      </c>
      <c r="J138" s="102" t="b">
        <v>0</v>
      </c>
      <c r="K138" s="102" t="b">
        <v>0</v>
      </c>
      <c r="L138" s="102" t="b">
        <v>0</v>
      </c>
    </row>
    <row r="139" spans="1:12" ht="15">
      <c r="A139" s="97" t="s">
        <v>2831</v>
      </c>
      <c r="B139" s="102" t="s">
        <v>712</v>
      </c>
      <c r="C139" s="102">
        <v>3</v>
      </c>
      <c r="D139" s="118">
        <v>0.0015219714891077365</v>
      </c>
      <c r="E139" s="118">
        <v>1.2502728503484044</v>
      </c>
      <c r="F139" s="102" t="s">
        <v>3110</v>
      </c>
      <c r="G139" s="102" t="b">
        <v>0</v>
      </c>
      <c r="H139" s="102" t="b">
        <v>0</v>
      </c>
      <c r="I139" s="102" t="b">
        <v>0</v>
      </c>
      <c r="J139" s="102" t="b">
        <v>0</v>
      </c>
      <c r="K139" s="102" t="b">
        <v>0</v>
      </c>
      <c r="L139" s="102" t="b">
        <v>0</v>
      </c>
    </row>
    <row r="140" spans="1:12" ht="15">
      <c r="A140" s="97" t="s">
        <v>430</v>
      </c>
      <c r="B140" s="102" t="s">
        <v>712</v>
      </c>
      <c r="C140" s="102">
        <v>3</v>
      </c>
      <c r="D140" s="118">
        <v>0.0015219714891077365</v>
      </c>
      <c r="E140" s="118">
        <v>1.2502728503484044</v>
      </c>
      <c r="F140" s="102" t="s">
        <v>3110</v>
      </c>
      <c r="G140" s="102" t="b">
        <v>0</v>
      </c>
      <c r="H140" s="102" t="b">
        <v>0</v>
      </c>
      <c r="I140" s="102" t="b">
        <v>0</v>
      </c>
      <c r="J140" s="102" t="b">
        <v>0</v>
      </c>
      <c r="K140" s="102" t="b">
        <v>0</v>
      </c>
      <c r="L140" s="102" t="b">
        <v>0</v>
      </c>
    </row>
    <row r="141" spans="1:12" ht="15">
      <c r="A141" s="97" t="s">
        <v>712</v>
      </c>
      <c r="B141" s="102" t="s">
        <v>2746</v>
      </c>
      <c r="C141" s="102">
        <v>3</v>
      </c>
      <c r="D141" s="118">
        <v>0.0015219714891077365</v>
      </c>
      <c r="E141" s="118">
        <v>1.043975948438205</v>
      </c>
      <c r="F141" s="102" t="s">
        <v>3110</v>
      </c>
      <c r="G141" s="102" t="b">
        <v>0</v>
      </c>
      <c r="H141" s="102" t="b">
        <v>0</v>
      </c>
      <c r="I141" s="102" t="b">
        <v>0</v>
      </c>
      <c r="J141" s="102" t="b">
        <v>0</v>
      </c>
      <c r="K141" s="102" t="b">
        <v>0</v>
      </c>
      <c r="L141" s="102" t="b">
        <v>0</v>
      </c>
    </row>
    <row r="142" spans="1:12" ht="15">
      <c r="A142" s="97" t="s">
        <v>2718</v>
      </c>
      <c r="B142" s="102" t="s">
        <v>2731</v>
      </c>
      <c r="C142" s="102">
        <v>3</v>
      </c>
      <c r="D142" s="118">
        <v>0.0015219714891077365</v>
      </c>
      <c r="E142" s="118">
        <v>2.402997891079873</v>
      </c>
      <c r="F142" s="102" t="s">
        <v>3110</v>
      </c>
      <c r="G142" s="102" t="b">
        <v>0</v>
      </c>
      <c r="H142" s="102" t="b">
        <v>0</v>
      </c>
      <c r="I142" s="102" t="b">
        <v>0</v>
      </c>
      <c r="J142" s="102" t="b">
        <v>0</v>
      </c>
      <c r="K142" s="102" t="b">
        <v>0</v>
      </c>
      <c r="L142" s="102" t="b">
        <v>0</v>
      </c>
    </row>
    <row r="143" spans="1:12" ht="15">
      <c r="A143" s="97" t="s">
        <v>385</v>
      </c>
      <c r="B143" s="102" t="s">
        <v>494</v>
      </c>
      <c r="C143" s="102">
        <v>3</v>
      </c>
      <c r="D143" s="118">
        <v>0.0015219714891077365</v>
      </c>
      <c r="E143" s="118">
        <v>2.7040278867438543</v>
      </c>
      <c r="F143" s="102" t="s">
        <v>3110</v>
      </c>
      <c r="G143" s="102" t="b">
        <v>0</v>
      </c>
      <c r="H143" s="102" t="b">
        <v>0</v>
      </c>
      <c r="I143" s="102" t="b">
        <v>0</v>
      </c>
      <c r="J143" s="102" t="b">
        <v>0</v>
      </c>
      <c r="K143" s="102" t="b">
        <v>0</v>
      </c>
      <c r="L143" s="102" t="b">
        <v>0</v>
      </c>
    </row>
    <row r="144" spans="1:12" ht="15">
      <c r="A144" s="97" t="s">
        <v>2851</v>
      </c>
      <c r="B144" s="102" t="s">
        <v>2852</v>
      </c>
      <c r="C144" s="102">
        <v>3</v>
      </c>
      <c r="D144" s="118">
        <v>0.0015219714891077365</v>
      </c>
      <c r="E144" s="118">
        <v>3.0720046720384486</v>
      </c>
      <c r="F144" s="102" t="s">
        <v>3110</v>
      </c>
      <c r="G144" s="102" t="b">
        <v>0</v>
      </c>
      <c r="H144" s="102" t="b">
        <v>0</v>
      </c>
      <c r="I144" s="102" t="b">
        <v>0</v>
      </c>
      <c r="J144" s="102" t="b">
        <v>0</v>
      </c>
      <c r="K144" s="102" t="b">
        <v>0</v>
      </c>
      <c r="L144" s="102" t="b">
        <v>0</v>
      </c>
    </row>
    <row r="145" spans="1:12" ht="15">
      <c r="A145" s="97" t="s">
        <v>372</v>
      </c>
      <c r="B145" s="102" t="s">
        <v>459</v>
      </c>
      <c r="C145" s="102">
        <v>3</v>
      </c>
      <c r="D145" s="118">
        <v>0.0015219714891077365</v>
      </c>
      <c r="E145" s="118">
        <v>2.1397564563052915</v>
      </c>
      <c r="F145" s="102" t="s">
        <v>3110</v>
      </c>
      <c r="G145" s="102" t="b">
        <v>0</v>
      </c>
      <c r="H145" s="102" t="b">
        <v>0</v>
      </c>
      <c r="I145" s="102" t="b">
        <v>0</v>
      </c>
      <c r="J145" s="102" t="b">
        <v>0</v>
      </c>
      <c r="K145" s="102" t="b">
        <v>0</v>
      </c>
      <c r="L145" s="102" t="b">
        <v>0</v>
      </c>
    </row>
    <row r="146" spans="1:12" ht="15">
      <c r="A146" s="97" t="s">
        <v>712</v>
      </c>
      <c r="B146" s="102" t="s">
        <v>2781</v>
      </c>
      <c r="C146" s="102">
        <v>3</v>
      </c>
      <c r="D146" s="118">
        <v>0.0015219714891077365</v>
      </c>
      <c r="E146" s="118">
        <v>1.1408859614462614</v>
      </c>
      <c r="F146" s="102" t="s">
        <v>3110</v>
      </c>
      <c r="G146" s="102" t="b">
        <v>0</v>
      </c>
      <c r="H146" s="102" t="b">
        <v>0</v>
      </c>
      <c r="I146" s="102" t="b">
        <v>0</v>
      </c>
      <c r="J146" s="102" t="b">
        <v>0</v>
      </c>
      <c r="K146" s="102" t="b">
        <v>0</v>
      </c>
      <c r="L146" s="102" t="b">
        <v>0</v>
      </c>
    </row>
    <row r="147" spans="1:12" ht="15">
      <c r="A147" s="97" t="s">
        <v>458</v>
      </c>
      <c r="B147" s="102" t="s">
        <v>2664</v>
      </c>
      <c r="C147" s="102">
        <v>3</v>
      </c>
      <c r="D147" s="118">
        <v>0.0015219714891077365</v>
      </c>
      <c r="E147" s="118">
        <v>1.1836379418672114</v>
      </c>
      <c r="F147" s="102" t="s">
        <v>3110</v>
      </c>
      <c r="G147" s="102" t="b">
        <v>0</v>
      </c>
      <c r="H147" s="102" t="b">
        <v>0</v>
      </c>
      <c r="I147" s="102" t="b">
        <v>0</v>
      </c>
      <c r="J147" s="102" t="b">
        <v>0</v>
      </c>
      <c r="K147" s="102" t="b">
        <v>0</v>
      </c>
      <c r="L147" s="102" t="b">
        <v>0</v>
      </c>
    </row>
    <row r="148" spans="1:12" ht="15">
      <c r="A148" s="97" t="s">
        <v>2664</v>
      </c>
      <c r="B148" s="102" t="s">
        <v>2853</v>
      </c>
      <c r="C148" s="102">
        <v>3</v>
      </c>
      <c r="D148" s="118">
        <v>0.0015219714891077365</v>
      </c>
      <c r="E148" s="118">
        <v>2.086727928859155</v>
      </c>
      <c r="F148" s="102" t="s">
        <v>3110</v>
      </c>
      <c r="G148" s="102" t="b">
        <v>0</v>
      </c>
      <c r="H148" s="102" t="b">
        <v>0</v>
      </c>
      <c r="I148" s="102" t="b">
        <v>0</v>
      </c>
      <c r="J148" s="102" t="b">
        <v>0</v>
      </c>
      <c r="K148" s="102" t="b">
        <v>0</v>
      </c>
      <c r="L148" s="102" t="b">
        <v>0</v>
      </c>
    </row>
    <row r="149" spans="1:12" ht="15">
      <c r="A149" s="97" t="s">
        <v>2853</v>
      </c>
      <c r="B149" s="102" t="s">
        <v>2854</v>
      </c>
      <c r="C149" s="102">
        <v>3</v>
      </c>
      <c r="D149" s="118">
        <v>0.0015219714891077365</v>
      </c>
      <c r="E149" s="118">
        <v>3.0720046720384486</v>
      </c>
      <c r="F149" s="102" t="s">
        <v>3110</v>
      </c>
      <c r="G149" s="102" t="b">
        <v>0</v>
      </c>
      <c r="H149" s="102" t="b">
        <v>0</v>
      </c>
      <c r="I149" s="102" t="b">
        <v>0</v>
      </c>
      <c r="J149" s="102" t="b">
        <v>0</v>
      </c>
      <c r="K149" s="102" t="b">
        <v>0</v>
      </c>
      <c r="L149" s="102" t="b">
        <v>0</v>
      </c>
    </row>
    <row r="150" spans="1:12" ht="15">
      <c r="A150" s="97" t="s">
        <v>2854</v>
      </c>
      <c r="B150" s="102" t="s">
        <v>2783</v>
      </c>
      <c r="C150" s="102">
        <v>3</v>
      </c>
      <c r="D150" s="118">
        <v>0.0015219714891077365</v>
      </c>
      <c r="E150" s="118">
        <v>2.9470659354301487</v>
      </c>
      <c r="F150" s="102" t="s">
        <v>3110</v>
      </c>
      <c r="G150" s="102" t="b">
        <v>0</v>
      </c>
      <c r="H150" s="102" t="b">
        <v>0</v>
      </c>
      <c r="I150" s="102" t="b">
        <v>0</v>
      </c>
      <c r="J150" s="102" t="b">
        <v>0</v>
      </c>
      <c r="K150" s="102" t="b">
        <v>0</v>
      </c>
      <c r="L150" s="102" t="b">
        <v>0</v>
      </c>
    </row>
    <row r="151" spans="1:12" ht="15">
      <c r="A151" s="97" t="s">
        <v>2783</v>
      </c>
      <c r="B151" s="102" t="s">
        <v>2855</v>
      </c>
      <c r="C151" s="102">
        <v>3</v>
      </c>
      <c r="D151" s="118">
        <v>0.0015219714891077365</v>
      </c>
      <c r="E151" s="118">
        <v>2.9470659354301487</v>
      </c>
      <c r="F151" s="102" t="s">
        <v>3110</v>
      </c>
      <c r="G151" s="102" t="b">
        <v>0</v>
      </c>
      <c r="H151" s="102" t="b">
        <v>0</v>
      </c>
      <c r="I151" s="102" t="b">
        <v>0</v>
      </c>
      <c r="J151" s="102" t="b">
        <v>0</v>
      </c>
      <c r="K151" s="102" t="b">
        <v>0</v>
      </c>
      <c r="L151" s="102" t="b">
        <v>0</v>
      </c>
    </row>
    <row r="152" spans="1:12" ht="15">
      <c r="A152" s="97" t="s">
        <v>2855</v>
      </c>
      <c r="B152" s="102" t="s">
        <v>2856</v>
      </c>
      <c r="C152" s="102">
        <v>3</v>
      </c>
      <c r="D152" s="118">
        <v>0.0015219714891077365</v>
      </c>
      <c r="E152" s="118">
        <v>3.0720046720384486</v>
      </c>
      <c r="F152" s="102" t="s">
        <v>3110</v>
      </c>
      <c r="G152" s="102" t="b">
        <v>0</v>
      </c>
      <c r="H152" s="102" t="b">
        <v>0</v>
      </c>
      <c r="I152" s="102" t="b">
        <v>0</v>
      </c>
      <c r="J152" s="102" t="b">
        <v>0</v>
      </c>
      <c r="K152" s="102" t="b">
        <v>0</v>
      </c>
      <c r="L152" s="102" t="b">
        <v>0</v>
      </c>
    </row>
    <row r="153" spans="1:12" ht="15">
      <c r="A153" s="97" t="s">
        <v>2856</v>
      </c>
      <c r="B153" s="102" t="s">
        <v>2857</v>
      </c>
      <c r="C153" s="102">
        <v>3</v>
      </c>
      <c r="D153" s="118">
        <v>0.0015219714891077365</v>
      </c>
      <c r="E153" s="118">
        <v>3.0720046720384486</v>
      </c>
      <c r="F153" s="102" t="s">
        <v>3110</v>
      </c>
      <c r="G153" s="102" t="b">
        <v>0</v>
      </c>
      <c r="H153" s="102" t="b">
        <v>0</v>
      </c>
      <c r="I153" s="102" t="b">
        <v>0</v>
      </c>
      <c r="J153" s="102" t="b">
        <v>0</v>
      </c>
      <c r="K153" s="102" t="b">
        <v>0</v>
      </c>
      <c r="L153" s="102" t="b">
        <v>0</v>
      </c>
    </row>
    <row r="154" spans="1:12" ht="15">
      <c r="A154" s="97" t="s">
        <v>2857</v>
      </c>
      <c r="B154" s="102" t="s">
        <v>712</v>
      </c>
      <c r="C154" s="102">
        <v>3</v>
      </c>
      <c r="D154" s="118">
        <v>0.0015219714891077365</v>
      </c>
      <c r="E154" s="118">
        <v>1.2502728503484044</v>
      </c>
      <c r="F154" s="102" t="s">
        <v>3110</v>
      </c>
      <c r="G154" s="102" t="b">
        <v>0</v>
      </c>
      <c r="H154" s="102" t="b">
        <v>0</v>
      </c>
      <c r="I154" s="102" t="b">
        <v>0</v>
      </c>
      <c r="J154" s="102" t="b">
        <v>0</v>
      </c>
      <c r="K154" s="102" t="b">
        <v>0</v>
      </c>
      <c r="L154" s="102" t="b">
        <v>0</v>
      </c>
    </row>
    <row r="155" spans="1:12" ht="15">
      <c r="A155" s="97" t="s">
        <v>2751</v>
      </c>
      <c r="B155" s="102" t="s">
        <v>2858</v>
      </c>
      <c r="C155" s="102">
        <v>3</v>
      </c>
      <c r="D155" s="118">
        <v>0.0015219714891077365</v>
      </c>
      <c r="E155" s="118">
        <v>2.850155922422092</v>
      </c>
      <c r="F155" s="102" t="s">
        <v>3110</v>
      </c>
      <c r="G155" s="102" t="b">
        <v>0</v>
      </c>
      <c r="H155" s="102" t="b">
        <v>0</v>
      </c>
      <c r="I155" s="102" t="b">
        <v>0</v>
      </c>
      <c r="J155" s="102" t="b">
        <v>0</v>
      </c>
      <c r="K155" s="102" t="b">
        <v>0</v>
      </c>
      <c r="L155" s="102" t="b">
        <v>0</v>
      </c>
    </row>
    <row r="156" spans="1:12" ht="15">
      <c r="A156" s="97" t="s">
        <v>2858</v>
      </c>
      <c r="B156" s="102" t="s">
        <v>2707</v>
      </c>
      <c r="C156" s="102">
        <v>3</v>
      </c>
      <c r="D156" s="118">
        <v>0.0015219714891077365</v>
      </c>
      <c r="E156" s="118">
        <v>2.507733241599886</v>
      </c>
      <c r="F156" s="102" t="s">
        <v>3110</v>
      </c>
      <c r="G156" s="102" t="b">
        <v>0</v>
      </c>
      <c r="H156" s="102" t="b">
        <v>0</v>
      </c>
      <c r="I156" s="102" t="b">
        <v>0</v>
      </c>
      <c r="J156" s="102" t="b">
        <v>0</v>
      </c>
      <c r="K156" s="102" t="b">
        <v>0</v>
      </c>
      <c r="L156" s="102" t="b">
        <v>0</v>
      </c>
    </row>
    <row r="157" spans="1:12" ht="15">
      <c r="A157" s="97" t="s">
        <v>2707</v>
      </c>
      <c r="B157" s="102" t="s">
        <v>2859</v>
      </c>
      <c r="C157" s="102">
        <v>3</v>
      </c>
      <c r="D157" s="118">
        <v>0.0015219714891077365</v>
      </c>
      <c r="E157" s="118">
        <v>2.507733241599886</v>
      </c>
      <c r="F157" s="102" t="s">
        <v>3110</v>
      </c>
      <c r="G157" s="102" t="b">
        <v>0</v>
      </c>
      <c r="H157" s="102" t="b">
        <v>0</v>
      </c>
      <c r="I157" s="102" t="b">
        <v>0</v>
      </c>
      <c r="J157" s="102" t="b">
        <v>0</v>
      </c>
      <c r="K157" s="102" t="b">
        <v>0</v>
      </c>
      <c r="L157" s="102" t="b">
        <v>0</v>
      </c>
    </row>
    <row r="158" spans="1:12" ht="15">
      <c r="A158" s="97" t="s">
        <v>2859</v>
      </c>
      <c r="B158" s="102" t="s">
        <v>2730</v>
      </c>
      <c r="C158" s="102">
        <v>3</v>
      </c>
      <c r="D158" s="118">
        <v>0.0015219714891077365</v>
      </c>
      <c r="E158" s="118">
        <v>2.7709746763744674</v>
      </c>
      <c r="F158" s="102" t="s">
        <v>3110</v>
      </c>
      <c r="G158" s="102" t="b">
        <v>0</v>
      </c>
      <c r="H158" s="102" t="b">
        <v>0</v>
      </c>
      <c r="I158" s="102" t="b">
        <v>0</v>
      </c>
      <c r="J158" s="102" t="b">
        <v>0</v>
      </c>
      <c r="K158" s="102" t="b">
        <v>0</v>
      </c>
      <c r="L158" s="102" t="b">
        <v>0</v>
      </c>
    </row>
    <row r="159" spans="1:12" ht="15">
      <c r="A159" s="97" t="s">
        <v>2730</v>
      </c>
      <c r="B159" s="102" t="s">
        <v>2860</v>
      </c>
      <c r="C159" s="102">
        <v>3</v>
      </c>
      <c r="D159" s="118">
        <v>0.0015219714891077365</v>
      </c>
      <c r="E159" s="118">
        <v>2.7709746763744674</v>
      </c>
      <c r="F159" s="102" t="s">
        <v>3110</v>
      </c>
      <c r="G159" s="102" t="b">
        <v>0</v>
      </c>
      <c r="H159" s="102" t="b">
        <v>0</v>
      </c>
      <c r="I159" s="102" t="b">
        <v>0</v>
      </c>
      <c r="J159" s="102" t="b">
        <v>0</v>
      </c>
      <c r="K159" s="102" t="b">
        <v>0</v>
      </c>
      <c r="L159" s="102" t="b">
        <v>0</v>
      </c>
    </row>
    <row r="160" spans="1:12" ht="15">
      <c r="A160" s="97" t="s">
        <v>2860</v>
      </c>
      <c r="B160" s="102" t="s">
        <v>2861</v>
      </c>
      <c r="C160" s="102">
        <v>3</v>
      </c>
      <c r="D160" s="118">
        <v>0.0015219714891077365</v>
      </c>
      <c r="E160" s="118">
        <v>3.0720046720384486</v>
      </c>
      <c r="F160" s="102" t="s">
        <v>3110</v>
      </c>
      <c r="G160" s="102" t="b">
        <v>0</v>
      </c>
      <c r="H160" s="102" t="b">
        <v>0</v>
      </c>
      <c r="I160" s="102" t="b">
        <v>0</v>
      </c>
      <c r="J160" s="102" t="b">
        <v>0</v>
      </c>
      <c r="K160" s="102" t="b">
        <v>0</v>
      </c>
      <c r="L160" s="102" t="b">
        <v>0</v>
      </c>
    </row>
    <row r="161" spans="1:12" ht="15">
      <c r="A161" s="97" t="s">
        <v>2861</v>
      </c>
      <c r="B161" s="102" t="s">
        <v>2780</v>
      </c>
      <c r="C161" s="102">
        <v>3</v>
      </c>
      <c r="D161" s="118">
        <v>0.0015219714891077365</v>
      </c>
      <c r="E161" s="118">
        <v>2.9470659354301487</v>
      </c>
      <c r="F161" s="102" t="s">
        <v>3110</v>
      </c>
      <c r="G161" s="102" t="b">
        <v>0</v>
      </c>
      <c r="H161" s="102" t="b">
        <v>0</v>
      </c>
      <c r="I161" s="102" t="b">
        <v>0</v>
      </c>
      <c r="J161" s="102" t="b">
        <v>0</v>
      </c>
      <c r="K161" s="102" t="b">
        <v>0</v>
      </c>
      <c r="L161" s="102" t="b">
        <v>0</v>
      </c>
    </row>
    <row r="162" spans="1:12" ht="15">
      <c r="A162" s="97" t="s">
        <v>2780</v>
      </c>
      <c r="B162" s="102" t="s">
        <v>2862</v>
      </c>
      <c r="C162" s="102">
        <v>3</v>
      </c>
      <c r="D162" s="118">
        <v>0.0015219714891077365</v>
      </c>
      <c r="E162" s="118">
        <v>2.9470659354301487</v>
      </c>
      <c r="F162" s="102" t="s">
        <v>3110</v>
      </c>
      <c r="G162" s="102" t="b">
        <v>0</v>
      </c>
      <c r="H162" s="102" t="b">
        <v>0</v>
      </c>
      <c r="I162" s="102" t="b">
        <v>0</v>
      </c>
      <c r="J162" s="102" t="b">
        <v>0</v>
      </c>
      <c r="K162" s="102" t="b">
        <v>0</v>
      </c>
      <c r="L162" s="102" t="b">
        <v>0</v>
      </c>
    </row>
    <row r="163" spans="1:12" ht="15">
      <c r="A163" s="97" t="s">
        <v>2862</v>
      </c>
      <c r="B163" s="102" t="s">
        <v>2863</v>
      </c>
      <c r="C163" s="102">
        <v>3</v>
      </c>
      <c r="D163" s="118">
        <v>0.0015219714891077365</v>
      </c>
      <c r="E163" s="118">
        <v>3.0720046720384486</v>
      </c>
      <c r="F163" s="102" t="s">
        <v>3110</v>
      </c>
      <c r="G163" s="102" t="b">
        <v>0</v>
      </c>
      <c r="H163" s="102" t="b">
        <v>0</v>
      </c>
      <c r="I163" s="102" t="b">
        <v>0</v>
      </c>
      <c r="J163" s="102" t="b">
        <v>0</v>
      </c>
      <c r="K163" s="102" t="b">
        <v>0</v>
      </c>
      <c r="L163" s="102" t="b">
        <v>0</v>
      </c>
    </row>
    <row r="164" spans="1:12" ht="15">
      <c r="A164" s="97" t="s">
        <v>2863</v>
      </c>
      <c r="B164" s="102" t="s">
        <v>2784</v>
      </c>
      <c r="C164" s="102">
        <v>3</v>
      </c>
      <c r="D164" s="118">
        <v>0.0015219714891077365</v>
      </c>
      <c r="E164" s="118">
        <v>2.9470659354301487</v>
      </c>
      <c r="F164" s="102" t="s">
        <v>3110</v>
      </c>
      <c r="G164" s="102" t="b">
        <v>0</v>
      </c>
      <c r="H164" s="102" t="b">
        <v>0</v>
      </c>
      <c r="I164" s="102" t="b">
        <v>0</v>
      </c>
      <c r="J164" s="102" t="b">
        <v>0</v>
      </c>
      <c r="K164" s="102" t="b">
        <v>0</v>
      </c>
      <c r="L164" s="102" t="b">
        <v>0</v>
      </c>
    </row>
    <row r="165" spans="1:12" ht="15">
      <c r="A165" s="97" t="s">
        <v>2784</v>
      </c>
      <c r="B165" s="102" t="s">
        <v>2864</v>
      </c>
      <c r="C165" s="102">
        <v>3</v>
      </c>
      <c r="D165" s="118">
        <v>0.0015219714891077365</v>
      </c>
      <c r="E165" s="118">
        <v>2.9470659354301487</v>
      </c>
      <c r="F165" s="102" t="s">
        <v>3110</v>
      </c>
      <c r="G165" s="102" t="b">
        <v>0</v>
      </c>
      <c r="H165" s="102" t="b">
        <v>0</v>
      </c>
      <c r="I165" s="102" t="b">
        <v>0</v>
      </c>
      <c r="J165" s="102" t="b">
        <v>0</v>
      </c>
      <c r="K165" s="102" t="b">
        <v>0</v>
      </c>
      <c r="L165" s="102" t="b">
        <v>0</v>
      </c>
    </row>
    <row r="166" spans="1:12" ht="15">
      <c r="A166" s="97" t="s">
        <v>712</v>
      </c>
      <c r="B166" s="102" t="s">
        <v>2706</v>
      </c>
      <c r="C166" s="102">
        <v>3</v>
      </c>
      <c r="D166" s="118">
        <v>0.0015219714891077365</v>
      </c>
      <c r="E166" s="118">
        <v>0.663764706726599</v>
      </c>
      <c r="F166" s="102" t="s">
        <v>3110</v>
      </c>
      <c r="G166" s="102" t="b">
        <v>0</v>
      </c>
      <c r="H166" s="102" t="b">
        <v>0</v>
      </c>
      <c r="I166" s="102" t="b">
        <v>0</v>
      </c>
      <c r="J166" s="102" t="b">
        <v>0</v>
      </c>
      <c r="K166" s="102" t="b">
        <v>0</v>
      </c>
      <c r="L166" s="102" t="b">
        <v>0</v>
      </c>
    </row>
    <row r="167" spans="1:12" ht="15">
      <c r="A167" s="97" t="s">
        <v>2876</v>
      </c>
      <c r="B167" s="102" t="s">
        <v>2877</v>
      </c>
      <c r="C167" s="102">
        <v>3</v>
      </c>
      <c r="D167" s="118">
        <v>0.0015219714891077365</v>
      </c>
      <c r="E167" s="118">
        <v>3.0720046720384486</v>
      </c>
      <c r="F167" s="102" t="s">
        <v>3110</v>
      </c>
      <c r="G167" s="102" t="b">
        <v>0</v>
      </c>
      <c r="H167" s="102" t="b">
        <v>0</v>
      </c>
      <c r="I167" s="102" t="b">
        <v>0</v>
      </c>
      <c r="J167" s="102" t="b">
        <v>0</v>
      </c>
      <c r="K167" s="102" t="b">
        <v>0</v>
      </c>
      <c r="L167" s="102" t="b">
        <v>0</v>
      </c>
    </row>
    <row r="168" spans="1:12" ht="15">
      <c r="A168" s="97" t="s">
        <v>2877</v>
      </c>
      <c r="B168" s="102" t="s">
        <v>2714</v>
      </c>
      <c r="C168" s="102">
        <v>3</v>
      </c>
      <c r="D168" s="118">
        <v>0.0015219714891077365</v>
      </c>
      <c r="E168" s="118">
        <v>2.6460359397661675</v>
      </c>
      <c r="F168" s="102" t="s">
        <v>3110</v>
      </c>
      <c r="G168" s="102" t="b">
        <v>0</v>
      </c>
      <c r="H168" s="102" t="b">
        <v>0</v>
      </c>
      <c r="I168" s="102" t="b">
        <v>0</v>
      </c>
      <c r="J168" s="102" t="b">
        <v>0</v>
      </c>
      <c r="K168" s="102" t="b">
        <v>0</v>
      </c>
      <c r="L168" s="102" t="b">
        <v>0</v>
      </c>
    </row>
    <row r="169" spans="1:12" ht="15">
      <c r="A169" s="97" t="s">
        <v>2714</v>
      </c>
      <c r="B169" s="102" t="s">
        <v>2878</v>
      </c>
      <c r="C169" s="102">
        <v>3</v>
      </c>
      <c r="D169" s="118">
        <v>0.0015219714891077365</v>
      </c>
      <c r="E169" s="118">
        <v>2.6460359397661675</v>
      </c>
      <c r="F169" s="102" t="s">
        <v>3110</v>
      </c>
      <c r="G169" s="102" t="b">
        <v>0</v>
      </c>
      <c r="H169" s="102" t="b">
        <v>0</v>
      </c>
      <c r="I169" s="102" t="b">
        <v>0</v>
      </c>
      <c r="J169" s="102" t="b">
        <v>0</v>
      </c>
      <c r="K169" s="102" t="b">
        <v>0</v>
      </c>
      <c r="L169" s="102" t="b">
        <v>0</v>
      </c>
    </row>
    <row r="170" spans="1:12" ht="15">
      <c r="A170" s="97" t="s">
        <v>2878</v>
      </c>
      <c r="B170" s="102" t="s">
        <v>2879</v>
      </c>
      <c r="C170" s="102">
        <v>3</v>
      </c>
      <c r="D170" s="118">
        <v>0.0015219714891077365</v>
      </c>
      <c r="E170" s="118">
        <v>3.0720046720384486</v>
      </c>
      <c r="F170" s="102" t="s">
        <v>3110</v>
      </c>
      <c r="G170" s="102" t="b">
        <v>0</v>
      </c>
      <c r="H170" s="102" t="b">
        <v>0</v>
      </c>
      <c r="I170" s="102" t="b">
        <v>0</v>
      </c>
      <c r="J170" s="102" t="b">
        <v>0</v>
      </c>
      <c r="K170" s="102" t="b">
        <v>0</v>
      </c>
      <c r="L170" s="102" t="b">
        <v>0</v>
      </c>
    </row>
    <row r="171" spans="1:12" ht="15">
      <c r="A171" s="97" t="s">
        <v>2879</v>
      </c>
      <c r="B171" s="102" t="s">
        <v>2880</v>
      </c>
      <c r="C171" s="102">
        <v>3</v>
      </c>
      <c r="D171" s="118">
        <v>0.0015219714891077365</v>
      </c>
      <c r="E171" s="118">
        <v>3.0720046720384486</v>
      </c>
      <c r="F171" s="102" t="s">
        <v>3110</v>
      </c>
      <c r="G171" s="102" t="b">
        <v>0</v>
      </c>
      <c r="H171" s="102" t="b">
        <v>0</v>
      </c>
      <c r="I171" s="102" t="b">
        <v>0</v>
      </c>
      <c r="J171" s="102" t="b">
        <v>0</v>
      </c>
      <c r="K171" s="102" t="b">
        <v>0</v>
      </c>
      <c r="L171" s="102" t="b">
        <v>0</v>
      </c>
    </row>
    <row r="172" spans="1:12" ht="15">
      <c r="A172" s="97" t="s">
        <v>2880</v>
      </c>
      <c r="B172" s="102" t="s">
        <v>2881</v>
      </c>
      <c r="C172" s="102">
        <v>3</v>
      </c>
      <c r="D172" s="118">
        <v>0.0015219714891077365</v>
      </c>
      <c r="E172" s="118">
        <v>3.0720046720384486</v>
      </c>
      <c r="F172" s="102" t="s">
        <v>3110</v>
      </c>
      <c r="G172" s="102" t="b">
        <v>0</v>
      </c>
      <c r="H172" s="102" t="b">
        <v>0</v>
      </c>
      <c r="I172" s="102" t="b">
        <v>0</v>
      </c>
      <c r="J172" s="102" t="b">
        <v>0</v>
      </c>
      <c r="K172" s="102" t="b">
        <v>0</v>
      </c>
      <c r="L172" s="102" t="b">
        <v>0</v>
      </c>
    </row>
    <row r="173" spans="1:12" ht="15">
      <c r="A173" s="97" t="s">
        <v>2881</v>
      </c>
      <c r="B173" s="102" t="s">
        <v>2882</v>
      </c>
      <c r="C173" s="102">
        <v>3</v>
      </c>
      <c r="D173" s="118">
        <v>0.0015219714891077365</v>
      </c>
      <c r="E173" s="118">
        <v>3.0720046720384486</v>
      </c>
      <c r="F173" s="102" t="s">
        <v>3110</v>
      </c>
      <c r="G173" s="102" t="b">
        <v>0</v>
      </c>
      <c r="H173" s="102" t="b">
        <v>0</v>
      </c>
      <c r="I173" s="102" t="b">
        <v>0</v>
      </c>
      <c r="J173" s="102" t="b">
        <v>0</v>
      </c>
      <c r="K173" s="102" t="b">
        <v>0</v>
      </c>
      <c r="L173" s="102" t="b">
        <v>0</v>
      </c>
    </row>
    <row r="174" spans="1:12" ht="15">
      <c r="A174" s="97" t="s">
        <v>2882</v>
      </c>
      <c r="B174" s="102" t="s">
        <v>2883</v>
      </c>
      <c r="C174" s="102">
        <v>3</v>
      </c>
      <c r="D174" s="118">
        <v>0.0015219714891077365</v>
      </c>
      <c r="E174" s="118">
        <v>3.0720046720384486</v>
      </c>
      <c r="F174" s="102" t="s">
        <v>3110</v>
      </c>
      <c r="G174" s="102" t="b">
        <v>0</v>
      </c>
      <c r="H174" s="102" t="b">
        <v>0</v>
      </c>
      <c r="I174" s="102" t="b">
        <v>0</v>
      </c>
      <c r="J174" s="102" t="b">
        <v>0</v>
      </c>
      <c r="K174" s="102" t="b">
        <v>0</v>
      </c>
      <c r="L174" s="102" t="b">
        <v>0</v>
      </c>
    </row>
    <row r="175" spans="1:12" ht="15">
      <c r="A175" s="97" t="s">
        <v>2883</v>
      </c>
      <c r="B175" s="102" t="s">
        <v>2791</v>
      </c>
      <c r="C175" s="102">
        <v>3</v>
      </c>
      <c r="D175" s="118">
        <v>0.0015219714891077365</v>
      </c>
      <c r="E175" s="118">
        <v>2.9470659354301487</v>
      </c>
      <c r="F175" s="102" t="s">
        <v>3110</v>
      </c>
      <c r="G175" s="102" t="b">
        <v>0</v>
      </c>
      <c r="H175" s="102" t="b">
        <v>0</v>
      </c>
      <c r="I175" s="102" t="b">
        <v>0</v>
      </c>
      <c r="J175" s="102" t="b">
        <v>0</v>
      </c>
      <c r="K175" s="102" t="b">
        <v>0</v>
      </c>
      <c r="L175" s="102" t="b">
        <v>0</v>
      </c>
    </row>
    <row r="176" spans="1:12" ht="15">
      <c r="A176" s="97" t="s">
        <v>2791</v>
      </c>
      <c r="B176" s="102" t="s">
        <v>2714</v>
      </c>
      <c r="C176" s="102">
        <v>3</v>
      </c>
      <c r="D176" s="118">
        <v>0.0015219714891077365</v>
      </c>
      <c r="E176" s="118">
        <v>2.5210972031578676</v>
      </c>
      <c r="F176" s="102" t="s">
        <v>3110</v>
      </c>
      <c r="G176" s="102" t="b">
        <v>0</v>
      </c>
      <c r="H176" s="102" t="b">
        <v>0</v>
      </c>
      <c r="I176" s="102" t="b">
        <v>0</v>
      </c>
      <c r="J176" s="102" t="b">
        <v>0</v>
      </c>
      <c r="K176" s="102" t="b">
        <v>0</v>
      </c>
      <c r="L176" s="102" t="b">
        <v>0</v>
      </c>
    </row>
    <row r="177" spans="1:12" ht="15">
      <c r="A177" s="97" t="s">
        <v>2714</v>
      </c>
      <c r="B177" s="102" t="s">
        <v>2884</v>
      </c>
      <c r="C177" s="102">
        <v>3</v>
      </c>
      <c r="D177" s="118">
        <v>0.0015219714891077365</v>
      </c>
      <c r="E177" s="118">
        <v>2.6460359397661675</v>
      </c>
      <c r="F177" s="102" t="s">
        <v>3110</v>
      </c>
      <c r="G177" s="102" t="b">
        <v>0</v>
      </c>
      <c r="H177" s="102" t="b">
        <v>0</v>
      </c>
      <c r="I177" s="102" t="b">
        <v>0</v>
      </c>
      <c r="J177" s="102" t="b">
        <v>0</v>
      </c>
      <c r="K177" s="102" t="b">
        <v>0</v>
      </c>
      <c r="L177" s="102" t="b">
        <v>0</v>
      </c>
    </row>
    <row r="178" spans="1:12" ht="15">
      <c r="A178" s="97" t="s">
        <v>2884</v>
      </c>
      <c r="B178" s="102" t="s">
        <v>2786</v>
      </c>
      <c r="C178" s="102">
        <v>3</v>
      </c>
      <c r="D178" s="118">
        <v>0.0015219714891077365</v>
      </c>
      <c r="E178" s="118">
        <v>2.9470659354301487</v>
      </c>
      <c r="F178" s="102" t="s">
        <v>3110</v>
      </c>
      <c r="G178" s="102" t="b">
        <v>0</v>
      </c>
      <c r="H178" s="102" t="b">
        <v>0</v>
      </c>
      <c r="I178" s="102" t="b">
        <v>0</v>
      </c>
      <c r="J178" s="102" t="b">
        <v>0</v>
      </c>
      <c r="K178" s="102" t="b">
        <v>0</v>
      </c>
      <c r="L178" s="102" t="b">
        <v>0</v>
      </c>
    </row>
    <row r="179" spans="1:12" ht="15">
      <c r="A179" s="97" t="s">
        <v>2786</v>
      </c>
      <c r="B179" s="102" t="s">
        <v>2885</v>
      </c>
      <c r="C179" s="102">
        <v>3</v>
      </c>
      <c r="D179" s="118">
        <v>0.0015219714891077365</v>
      </c>
      <c r="E179" s="118">
        <v>2.9470659354301487</v>
      </c>
      <c r="F179" s="102" t="s">
        <v>3110</v>
      </c>
      <c r="G179" s="102" t="b">
        <v>0</v>
      </c>
      <c r="H179" s="102" t="b">
        <v>0</v>
      </c>
      <c r="I179" s="102" t="b">
        <v>0</v>
      </c>
      <c r="J179" s="102" t="b">
        <v>0</v>
      </c>
      <c r="K179" s="102" t="b">
        <v>0</v>
      </c>
      <c r="L179" s="102" t="b">
        <v>0</v>
      </c>
    </row>
    <row r="180" spans="1:12" ht="15">
      <c r="A180" s="97" t="s">
        <v>2885</v>
      </c>
      <c r="B180" s="102" t="s">
        <v>2886</v>
      </c>
      <c r="C180" s="102">
        <v>3</v>
      </c>
      <c r="D180" s="118">
        <v>0.0015219714891077365</v>
      </c>
      <c r="E180" s="118">
        <v>3.0720046720384486</v>
      </c>
      <c r="F180" s="102" t="s">
        <v>3110</v>
      </c>
      <c r="G180" s="102" t="b">
        <v>0</v>
      </c>
      <c r="H180" s="102" t="b">
        <v>0</v>
      </c>
      <c r="I180" s="102" t="b">
        <v>0</v>
      </c>
      <c r="J180" s="102" t="b">
        <v>0</v>
      </c>
      <c r="K180" s="102" t="b">
        <v>0</v>
      </c>
      <c r="L180" s="102" t="b">
        <v>0</v>
      </c>
    </row>
    <row r="181" spans="1:12" ht="15">
      <c r="A181" s="97" t="s">
        <v>2886</v>
      </c>
      <c r="B181" s="102" t="s">
        <v>2887</v>
      </c>
      <c r="C181" s="102">
        <v>3</v>
      </c>
      <c r="D181" s="118">
        <v>0.0015219714891077365</v>
      </c>
      <c r="E181" s="118">
        <v>3.0720046720384486</v>
      </c>
      <c r="F181" s="102" t="s">
        <v>3110</v>
      </c>
      <c r="G181" s="102" t="b">
        <v>0</v>
      </c>
      <c r="H181" s="102" t="b">
        <v>0</v>
      </c>
      <c r="I181" s="102" t="b">
        <v>0</v>
      </c>
      <c r="J181" s="102" t="b">
        <v>0</v>
      </c>
      <c r="K181" s="102" t="b">
        <v>0</v>
      </c>
      <c r="L181" s="102" t="b">
        <v>0</v>
      </c>
    </row>
    <row r="182" spans="1:12" ht="15">
      <c r="A182" s="97" t="s">
        <v>2887</v>
      </c>
      <c r="B182" s="102" t="s">
        <v>2888</v>
      </c>
      <c r="C182" s="102">
        <v>3</v>
      </c>
      <c r="D182" s="118">
        <v>0.0015219714891077365</v>
      </c>
      <c r="E182" s="118">
        <v>3.0720046720384486</v>
      </c>
      <c r="F182" s="102" t="s">
        <v>3110</v>
      </c>
      <c r="G182" s="102" t="b">
        <v>0</v>
      </c>
      <c r="H182" s="102" t="b">
        <v>0</v>
      </c>
      <c r="I182" s="102" t="b">
        <v>0</v>
      </c>
      <c r="J182" s="102" t="b">
        <v>0</v>
      </c>
      <c r="K182" s="102" t="b">
        <v>0</v>
      </c>
      <c r="L182" s="102" t="b">
        <v>0</v>
      </c>
    </row>
    <row r="183" spans="1:12" ht="15">
      <c r="A183" s="97" t="s">
        <v>2888</v>
      </c>
      <c r="B183" s="102" t="s">
        <v>2889</v>
      </c>
      <c r="C183" s="102">
        <v>3</v>
      </c>
      <c r="D183" s="118">
        <v>0.0015219714891077365</v>
      </c>
      <c r="E183" s="118">
        <v>3.0720046720384486</v>
      </c>
      <c r="F183" s="102" t="s">
        <v>3110</v>
      </c>
      <c r="G183" s="102" t="b">
        <v>0</v>
      </c>
      <c r="H183" s="102" t="b">
        <v>0</v>
      </c>
      <c r="I183" s="102" t="b">
        <v>0</v>
      </c>
      <c r="J183" s="102" t="b">
        <v>0</v>
      </c>
      <c r="K183" s="102" t="b">
        <v>0</v>
      </c>
      <c r="L183" s="102" t="b">
        <v>0</v>
      </c>
    </row>
    <row r="184" spans="1:12" ht="15">
      <c r="A184" s="97" t="s">
        <v>2889</v>
      </c>
      <c r="B184" s="102" t="s">
        <v>2708</v>
      </c>
      <c r="C184" s="102">
        <v>3</v>
      </c>
      <c r="D184" s="118">
        <v>0.0015219714891077365</v>
      </c>
      <c r="E184" s="118">
        <v>2.507733241599886</v>
      </c>
      <c r="F184" s="102" t="s">
        <v>3110</v>
      </c>
      <c r="G184" s="102" t="b">
        <v>0</v>
      </c>
      <c r="H184" s="102" t="b">
        <v>0</v>
      </c>
      <c r="I184" s="102" t="b">
        <v>0</v>
      </c>
      <c r="J184" s="102" t="b">
        <v>0</v>
      </c>
      <c r="K184" s="102" t="b">
        <v>0</v>
      </c>
      <c r="L184" s="102" t="b">
        <v>0</v>
      </c>
    </row>
    <row r="185" spans="1:12" ht="15">
      <c r="A185" s="97" t="s">
        <v>434</v>
      </c>
      <c r="B185" s="102" t="s">
        <v>712</v>
      </c>
      <c r="C185" s="102">
        <v>3</v>
      </c>
      <c r="D185" s="118">
        <v>0.0015219714891077365</v>
      </c>
      <c r="E185" s="118">
        <v>1.028424100732048</v>
      </c>
      <c r="F185" s="102" t="s">
        <v>3110</v>
      </c>
      <c r="G185" s="102" t="b">
        <v>0</v>
      </c>
      <c r="H185" s="102" t="b">
        <v>0</v>
      </c>
      <c r="I185" s="102" t="b">
        <v>0</v>
      </c>
      <c r="J185" s="102" t="b">
        <v>0</v>
      </c>
      <c r="K185" s="102" t="b">
        <v>0</v>
      </c>
      <c r="L185" s="102" t="b">
        <v>0</v>
      </c>
    </row>
    <row r="186" spans="1:12" ht="15">
      <c r="A186" s="97" t="s">
        <v>712</v>
      </c>
      <c r="B186" s="102" t="s">
        <v>2892</v>
      </c>
      <c r="C186" s="102">
        <v>3</v>
      </c>
      <c r="D186" s="118">
        <v>0.0015219714891077365</v>
      </c>
      <c r="E186" s="118">
        <v>1.2658246980545613</v>
      </c>
      <c r="F186" s="102" t="s">
        <v>3110</v>
      </c>
      <c r="G186" s="102" t="b">
        <v>0</v>
      </c>
      <c r="H186" s="102" t="b">
        <v>0</v>
      </c>
      <c r="I186" s="102" t="b">
        <v>0</v>
      </c>
      <c r="J186" s="102" t="b">
        <v>0</v>
      </c>
      <c r="K186" s="102" t="b">
        <v>0</v>
      </c>
      <c r="L186" s="102" t="b">
        <v>0</v>
      </c>
    </row>
    <row r="187" spans="1:12" ht="15">
      <c r="A187" s="97" t="s">
        <v>2892</v>
      </c>
      <c r="B187" s="102" t="s">
        <v>2893</v>
      </c>
      <c r="C187" s="102">
        <v>3</v>
      </c>
      <c r="D187" s="118">
        <v>0.0015219714891077365</v>
      </c>
      <c r="E187" s="118">
        <v>3.0720046720384486</v>
      </c>
      <c r="F187" s="102" t="s">
        <v>3110</v>
      </c>
      <c r="G187" s="102" t="b">
        <v>0</v>
      </c>
      <c r="H187" s="102" t="b">
        <v>0</v>
      </c>
      <c r="I187" s="102" t="b">
        <v>0</v>
      </c>
      <c r="J187" s="102" t="b">
        <v>0</v>
      </c>
      <c r="K187" s="102" t="b">
        <v>0</v>
      </c>
      <c r="L187" s="102" t="b">
        <v>0</v>
      </c>
    </row>
    <row r="188" spans="1:12" ht="15">
      <c r="A188" s="97" t="s">
        <v>2893</v>
      </c>
      <c r="B188" s="102" t="s">
        <v>2894</v>
      </c>
      <c r="C188" s="102">
        <v>3</v>
      </c>
      <c r="D188" s="118">
        <v>0.0015219714891077365</v>
      </c>
      <c r="E188" s="118">
        <v>3.0720046720384486</v>
      </c>
      <c r="F188" s="102" t="s">
        <v>3110</v>
      </c>
      <c r="G188" s="102" t="b">
        <v>0</v>
      </c>
      <c r="H188" s="102" t="b">
        <v>0</v>
      </c>
      <c r="I188" s="102" t="b">
        <v>0</v>
      </c>
      <c r="J188" s="102" t="b">
        <v>0</v>
      </c>
      <c r="K188" s="102" t="b">
        <v>0</v>
      </c>
      <c r="L188" s="102" t="b">
        <v>0</v>
      </c>
    </row>
    <row r="189" spans="1:12" ht="15">
      <c r="A189" s="97" t="s">
        <v>2894</v>
      </c>
      <c r="B189" s="102" t="s">
        <v>2895</v>
      </c>
      <c r="C189" s="102">
        <v>3</v>
      </c>
      <c r="D189" s="118">
        <v>0.0015219714891077365</v>
      </c>
      <c r="E189" s="118">
        <v>3.0720046720384486</v>
      </c>
      <c r="F189" s="102" t="s">
        <v>3110</v>
      </c>
      <c r="G189" s="102" t="b">
        <v>0</v>
      </c>
      <c r="H189" s="102" t="b">
        <v>0</v>
      </c>
      <c r="I189" s="102" t="b">
        <v>0</v>
      </c>
      <c r="J189" s="102" t="b">
        <v>0</v>
      </c>
      <c r="K189" s="102" t="b">
        <v>0</v>
      </c>
      <c r="L189" s="102" t="b">
        <v>0</v>
      </c>
    </row>
    <row r="190" spans="1:12" ht="15">
      <c r="A190" s="97" t="s">
        <v>2895</v>
      </c>
      <c r="B190" s="102" t="s">
        <v>2896</v>
      </c>
      <c r="C190" s="102">
        <v>3</v>
      </c>
      <c r="D190" s="118">
        <v>0.0015219714891077365</v>
      </c>
      <c r="E190" s="118">
        <v>3.0720046720384486</v>
      </c>
      <c r="F190" s="102" t="s">
        <v>3110</v>
      </c>
      <c r="G190" s="102" t="b">
        <v>0</v>
      </c>
      <c r="H190" s="102" t="b">
        <v>0</v>
      </c>
      <c r="I190" s="102" t="b">
        <v>0</v>
      </c>
      <c r="J190" s="102" t="b">
        <v>0</v>
      </c>
      <c r="K190" s="102" t="b">
        <v>0</v>
      </c>
      <c r="L190" s="102" t="b">
        <v>0</v>
      </c>
    </row>
    <row r="191" spans="1:12" ht="15">
      <c r="A191" s="97" t="s">
        <v>2897</v>
      </c>
      <c r="B191" s="102" t="s">
        <v>2681</v>
      </c>
      <c r="C191" s="102">
        <v>3</v>
      </c>
      <c r="D191" s="118">
        <v>0.0015219714891077365</v>
      </c>
      <c r="E191" s="118">
        <v>2.345005944102186</v>
      </c>
      <c r="F191" s="102" t="s">
        <v>3110</v>
      </c>
      <c r="G191" s="102" t="b">
        <v>0</v>
      </c>
      <c r="H191" s="102" t="b">
        <v>0</v>
      </c>
      <c r="I191" s="102" t="b">
        <v>0</v>
      </c>
      <c r="J191" s="102" t="b">
        <v>0</v>
      </c>
      <c r="K191" s="102" t="b">
        <v>0</v>
      </c>
      <c r="L191" s="102" t="b">
        <v>0</v>
      </c>
    </row>
    <row r="192" spans="1:12" ht="15">
      <c r="A192" s="97" t="s">
        <v>2704</v>
      </c>
      <c r="B192" s="102" t="s">
        <v>2902</v>
      </c>
      <c r="C192" s="102">
        <v>3</v>
      </c>
      <c r="D192" s="118">
        <v>0.0015219714891077365</v>
      </c>
      <c r="E192" s="118">
        <v>2.4351825744512743</v>
      </c>
      <c r="F192" s="102" t="s">
        <v>3110</v>
      </c>
      <c r="G192" s="102" t="b">
        <v>0</v>
      </c>
      <c r="H192" s="102" t="b">
        <v>0</v>
      </c>
      <c r="I192" s="102" t="b">
        <v>0</v>
      </c>
      <c r="J192" s="102" t="b">
        <v>0</v>
      </c>
      <c r="K192" s="102" t="b">
        <v>0</v>
      </c>
      <c r="L192" s="102" t="b">
        <v>0</v>
      </c>
    </row>
    <row r="193" spans="1:12" ht="15">
      <c r="A193" s="97" t="s">
        <v>2904</v>
      </c>
      <c r="B193" s="102" t="s">
        <v>2905</v>
      </c>
      <c r="C193" s="102">
        <v>3</v>
      </c>
      <c r="D193" s="118">
        <v>0.0015219714891077365</v>
      </c>
      <c r="E193" s="118">
        <v>3.0720046720384486</v>
      </c>
      <c r="F193" s="102" t="s">
        <v>3110</v>
      </c>
      <c r="G193" s="102" t="b">
        <v>0</v>
      </c>
      <c r="H193" s="102" t="b">
        <v>0</v>
      </c>
      <c r="I193" s="102" t="b">
        <v>0</v>
      </c>
      <c r="J193" s="102" t="b">
        <v>0</v>
      </c>
      <c r="K193" s="102" t="b">
        <v>0</v>
      </c>
      <c r="L193" s="102" t="b">
        <v>0</v>
      </c>
    </row>
    <row r="194" spans="1:12" ht="15">
      <c r="A194" s="97" t="s">
        <v>2905</v>
      </c>
      <c r="B194" s="102" t="s">
        <v>2706</v>
      </c>
      <c r="C194" s="102">
        <v>3</v>
      </c>
      <c r="D194" s="118">
        <v>0.0015219714891077365</v>
      </c>
      <c r="E194" s="118">
        <v>2.469944680710486</v>
      </c>
      <c r="F194" s="102" t="s">
        <v>3110</v>
      </c>
      <c r="G194" s="102" t="b">
        <v>0</v>
      </c>
      <c r="H194" s="102" t="b">
        <v>0</v>
      </c>
      <c r="I194" s="102" t="b">
        <v>0</v>
      </c>
      <c r="J194" s="102" t="b">
        <v>0</v>
      </c>
      <c r="K194" s="102" t="b">
        <v>0</v>
      </c>
      <c r="L194" s="102" t="b">
        <v>0</v>
      </c>
    </row>
    <row r="195" spans="1:12" ht="15">
      <c r="A195" s="97" t="s">
        <v>2706</v>
      </c>
      <c r="B195" s="102" t="s">
        <v>2906</v>
      </c>
      <c r="C195" s="102">
        <v>3</v>
      </c>
      <c r="D195" s="118">
        <v>0.0015219714891077365</v>
      </c>
      <c r="E195" s="118">
        <v>2.5491259267581112</v>
      </c>
      <c r="F195" s="102" t="s">
        <v>3110</v>
      </c>
      <c r="G195" s="102" t="b">
        <v>0</v>
      </c>
      <c r="H195" s="102" t="b">
        <v>0</v>
      </c>
      <c r="I195" s="102" t="b">
        <v>0</v>
      </c>
      <c r="J195" s="102" t="b">
        <v>0</v>
      </c>
      <c r="K195" s="102" t="b">
        <v>0</v>
      </c>
      <c r="L195" s="102" t="b">
        <v>0</v>
      </c>
    </row>
    <row r="196" spans="1:12" ht="15">
      <c r="A196" s="97" t="s">
        <v>2906</v>
      </c>
      <c r="B196" s="102" t="s">
        <v>2907</v>
      </c>
      <c r="C196" s="102">
        <v>3</v>
      </c>
      <c r="D196" s="118">
        <v>0.0015219714891077365</v>
      </c>
      <c r="E196" s="118">
        <v>3.0720046720384486</v>
      </c>
      <c r="F196" s="102" t="s">
        <v>3110</v>
      </c>
      <c r="G196" s="102" t="b">
        <v>0</v>
      </c>
      <c r="H196" s="102" t="b">
        <v>0</v>
      </c>
      <c r="I196" s="102" t="b">
        <v>0</v>
      </c>
      <c r="J196" s="102" t="b">
        <v>0</v>
      </c>
      <c r="K196" s="102" t="b">
        <v>0</v>
      </c>
      <c r="L196" s="102" t="b">
        <v>0</v>
      </c>
    </row>
    <row r="197" spans="1:12" ht="15">
      <c r="A197" s="97" t="s">
        <v>2907</v>
      </c>
      <c r="B197" s="102" t="s">
        <v>2908</v>
      </c>
      <c r="C197" s="102">
        <v>3</v>
      </c>
      <c r="D197" s="118">
        <v>0.0015219714891077365</v>
      </c>
      <c r="E197" s="118">
        <v>3.0720046720384486</v>
      </c>
      <c r="F197" s="102" t="s">
        <v>3110</v>
      </c>
      <c r="G197" s="102" t="b">
        <v>0</v>
      </c>
      <c r="H197" s="102" t="b">
        <v>0</v>
      </c>
      <c r="I197" s="102" t="b">
        <v>0</v>
      </c>
      <c r="J197" s="102" t="b">
        <v>0</v>
      </c>
      <c r="K197" s="102" t="b">
        <v>0</v>
      </c>
      <c r="L197" s="102" t="b">
        <v>0</v>
      </c>
    </row>
    <row r="198" spans="1:12" ht="15">
      <c r="A198" s="97" t="s">
        <v>2908</v>
      </c>
      <c r="B198" s="102" t="s">
        <v>2909</v>
      </c>
      <c r="C198" s="102">
        <v>3</v>
      </c>
      <c r="D198" s="118">
        <v>0.0015219714891077365</v>
      </c>
      <c r="E198" s="118">
        <v>3.0720046720384486</v>
      </c>
      <c r="F198" s="102" t="s">
        <v>3110</v>
      </c>
      <c r="G198" s="102" t="b">
        <v>0</v>
      </c>
      <c r="H198" s="102" t="b">
        <v>0</v>
      </c>
      <c r="I198" s="102" t="b">
        <v>0</v>
      </c>
      <c r="J198" s="102" t="b">
        <v>0</v>
      </c>
      <c r="K198" s="102" t="b">
        <v>0</v>
      </c>
      <c r="L198" s="102" t="b">
        <v>0</v>
      </c>
    </row>
    <row r="199" spans="1:12" ht="15">
      <c r="A199" s="97" t="s">
        <v>2909</v>
      </c>
      <c r="B199" s="102" t="s">
        <v>2792</v>
      </c>
      <c r="C199" s="102">
        <v>3</v>
      </c>
      <c r="D199" s="118">
        <v>0.0015219714891077365</v>
      </c>
      <c r="E199" s="118">
        <v>2.9470659354301487</v>
      </c>
      <c r="F199" s="102" t="s">
        <v>3110</v>
      </c>
      <c r="G199" s="102" t="b">
        <v>0</v>
      </c>
      <c r="H199" s="102" t="b">
        <v>0</v>
      </c>
      <c r="I199" s="102" t="b">
        <v>0</v>
      </c>
      <c r="J199" s="102" t="b">
        <v>0</v>
      </c>
      <c r="K199" s="102" t="b">
        <v>0</v>
      </c>
      <c r="L199" s="102" t="b">
        <v>0</v>
      </c>
    </row>
    <row r="200" spans="1:12" ht="15">
      <c r="A200" s="97" t="s">
        <v>2792</v>
      </c>
      <c r="B200" s="102" t="s">
        <v>2806</v>
      </c>
      <c r="C200" s="102">
        <v>3</v>
      </c>
      <c r="D200" s="118">
        <v>0.0015219714891077365</v>
      </c>
      <c r="E200" s="118">
        <v>2.822127198821849</v>
      </c>
      <c r="F200" s="102" t="s">
        <v>3110</v>
      </c>
      <c r="G200" s="102" t="b">
        <v>0</v>
      </c>
      <c r="H200" s="102" t="b">
        <v>0</v>
      </c>
      <c r="I200" s="102" t="b">
        <v>0</v>
      </c>
      <c r="J200" s="102" t="b">
        <v>0</v>
      </c>
      <c r="K200" s="102" t="b">
        <v>0</v>
      </c>
      <c r="L200" s="102" t="b">
        <v>0</v>
      </c>
    </row>
    <row r="201" spans="1:12" ht="15">
      <c r="A201" s="97" t="s">
        <v>2806</v>
      </c>
      <c r="B201" s="102" t="s">
        <v>2805</v>
      </c>
      <c r="C201" s="102">
        <v>3</v>
      </c>
      <c r="D201" s="118">
        <v>0.0015219714891077365</v>
      </c>
      <c r="E201" s="118">
        <v>2.822127198821849</v>
      </c>
      <c r="F201" s="102" t="s">
        <v>3110</v>
      </c>
      <c r="G201" s="102" t="b">
        <v>0</v>
      </c>
      <c r="H201" s="102" t="b">
        <v>0</v>
      </c>
      <c r="I201" s="102" t="b">
        <v>0</v>
      </c>
      <c r="J201" s="102" t="b">
        <v>0</v>
      </c>
      <c r="K201" s="102" t="b">
        <v>0</v>
      </c>
      <c r="L201" s="102" t="b">
        <v>0</v>
      </c>
    </row>
    <row r="202" spans="1:12" ht="15">
      <c r="A202" s="97" t="s">
        <v>2805</v>
      </c>
      <c r="B202" s="102" t="s">
        <v>2662</v>
      </c>
      <c r="C202" s="102">
        <v>3</v>
      </c>
      <c r="D202" s="118">
        <v>0.0015219714891077365</v>
      </c>
      <c r="E202" s="118">
        <v>1.9056732502719236</v>
      </c>
      <c r="F202" s="102" t="s">
        <v>3110</v>
      </c>
      <c r="G202" s="102" t="b">
        <v>0</v>
      </c>
      <c r="H202" s="102" t="b">
        <v>0</v>
      </c>
      <c r="I202" s="102" t="b">
        <v>0</v>
      </c>
      <c r="J202" s="102" t="b">
        <v>0</v>
      </c>
      <c r="K202" s="102" t="b">
        <v>0</v>
      </c>
      <c r="L202" s="102" t="b">
        <v>0</v>
      </c>
    </row>
    <row r="203" spans="1:12" ht="15">
      <c r="A203" s="97" t="s">
        <v>2662</v>
      </c>
      <c r="B203" s="102" t="s">
        <v>2910</v>
      </c>
      <c r="C203" s="102">
        <v>3</v>
      </c>
      <c r="D203" s="118">
        <v>0.0015219714891077365</v>
      </c>
      <c r="E203" s="118">
        <v>2.043975948438205</v>
      </c>
      <c r="F203" s="102" t="s">
        <v>3110</v>
      </c>
      <c r="G203" s="102" t="b">
        <v>0</v>
      </c>
      <c r="H203" s="102" t="b">
        <v>0</v>
      </c>
      <c r="I203" s="102" t="b">
        <v>0</v>
      </c>
      <c r="J203" s="102" t="b">
        <v>0</v>
      </c>
      <c r="K203" s="102" t="b">
        <v>0</v>
      </c>
      <c r="L203" s="102" t="b">
        <v>0</v>
      </c>
    </row>
    <row r="204" spans="1:12" ht="15">
      <c r="A204" s="97" t="s">
        <v>399</v>
      </c>
      <c r="B204" s="102" t="s">
        <v>398</v>
      </c>
      <c r="C204" s="102">
        <v>3</v>
      </c>
      <c r="D204" s="118">
        <v>0.0015219714891077365</v>
      </c>
      <c r="E204" s="118">
        <v>2.7040278867438543</v>
      </c>
      <c r="F204" s="102" t="s">
        <v>3110</v>
      </c>
      <c r="G204" s="102" t="b">
        <v>0</v>
      </c>
      <c r="H204" s="102" t="b">
        <v>0</v>
      </c>
      <c r="I204" s="102" t="b">
        <v>0</v>
      </c>
      <c r="J204" s="102" t="b">
        <v>0</v>
      </c>
      <c r="K204" s="102" t="b">
        <v>0</v>
      </c>
      <c r="L204" s="102" t="b">
        <v>0</v>
      </c>
    </row>
    <row r="205" spans="1:12" ht="15">
      <c r="A205" s="97" t="s">
        <v>398</v>
      </c>
      <c r="B205" s="102" t="s">
        <v>396</v>
      </c>
      <c r="C205" s="102">
        <v>3</v>
      </c>
      <c r="D205" s="118">
        <v>0.0015219714891077365</v>
      </c>
      <c r="E205" s="118">
        <v>2.822127198821849</v>
      </c>
      <c r="F205" s="102" t="s">
        <v>3110</v>
      </c>
      <c r="G205" s="102" t="b">
        <v>0</v>
      </c>
      <c r="H205" s="102" t="b">
        <v>0</v>
      </c>
      <c r="I205" s="102" t="b">
        <v>0</v>
      </c>
      <c r="J205" s="102" t="b">
        <v>0</v>
      </c>
      <c r="K205" s="102" t="b">
        <v>0</v>
      </c>
      <c r="L205" s="102" t="b">
        <v>0</v>
      </c>
    </row>
    <row r="206" spans="1:12" ht="15">
      <c r="A206" s="97" t="s">
        <v>396</v>
      </c>
      <c r="B206" s="102" t="s">
        <v>397</v>
      </c>
      <c r="C206" s="102">
        <v>3</v>
      </c>
      <c r="D206" s="118">
        <v>0.0015219714891077365</v>
      </c>
      <c r="E206" s="118">
        <v>2.725217185813792</v>
      </c>
      <c r="F206" s="102" t="s">
        <v>3110</v>
      </c>
      <c r="G206" s="102" t="b">
        <v>0</v>
      </c>
      <c r="H206" s="102" t="b">
        <v>0</v>
      </c>
      <c r="I206" s="102" t="b">
        <v>0</v>
      </c>
      <c r="J206" s="102" t="b">
        <v>0</v>
      </c>
      <c r="K206" s="102" t="b">
        <v>0</v>
      </c>
      <c r="L206" s="102" t="b">
        <v>0</v>
      </c>
    </row>
    <row r="207" spans="1:12" ht="15">
      <c r="A207" s="97" t="s">
        <v>2913</v>
      </c>
      <c r="B207" s="102" t="s">
        <v>2914</v>
      </c>
      <c r="C207" s="102">
        <v>3</v>
      </c>
      <c r="D207" s="118">
        <v>0.0015219714891077365</v>
      </c>
      <c r="E207" s="118">
        <v>3.0720046720384486</v>
      </c>
      <c r="F207" s="102" t="s">
        <v>3110</v>
      </c>
      <c r="G207" s="102" t="b">
        <v>0</v>
      </c>
      <c r="H207" s="102" t="b">
        <v>0</v>
      </c>
      <c r="I207" s="102" t="b">
        <v>0</v>
      </c>
      <c r="J207" s="102" t="b">
        <v>0</v>
      </c>
      <c r="K207" s="102" t="b">
        <v>0</v>
      </c>
      <c r="L207" s="102" t="b">
        <v>0</v>
      </c>
    </row>
    <row r="208" spans="1:12" ht="15">
      <c r="A208" s="97" t="s">
        <v>2914</v>
      </c>
      <c r="B208" s="102" t="s">
        <v>2808</v>
      </c>
      <c r="C208" s="102">
        <v>3</v>
      </c>
      <c r="D208" s="118">
        <v>0.0015219714891077365</v>
      </c>
      <c r="E208" s="118">
        <v>2.9470659354301487</v>
      </c>
      <c r="F208" s="102" t="s">
        <v>3110</v>
      </c>
      <c r="G208" s="102" t="b">
        <v>0</v>
      </c>
      <c r="H208" s="102" t="b">
        <v>0</v>
      </c>
      <c r="I208" s="102" t="b">
        <v>0</v>
      </c>
      <c r="J208" s="102" t="b">
        <v>0</v>
      </c>
      <c r="K208" s="102" t="b">
        <v>0</v>
      </c>
      <c r="L208" s="102" t="b">
        <v>0</v>
      </c>
    </row>
    <row r="209" spans="1:12" ht="15">
      <c r="A209" s="97" t="s">
        <v>2808</v>
      </c>
      <c r="B209" s="102" t="s">
        <v>2915</v>
      </c>
      <c r="C209" s="102">
        <v>3</v>
      </c>
      <c r="D209" s="118">
        <v>0.0015219714891077365</v>
      </c>
      <c r="E209" s="118">
        <v>2.9470659354301487</v>
      </c>
      <c r="F209" s="102" t="s">
        <v>3110</v>
      </c>
      <c r="G209" s="102" t="b">
        <v>0</v>
      </c>
      <c r="H209" s="102" t="b">
        <v>0</v>
      </c>
      <c r="I209" s="102" t="b">
        <v>0</v>
      </c>
      <c r="J209" s="102" t="b">
        <v>0</v>
      </c>
      <c r="K209" s="102" t="b">
        <v>0</v>
      </c>
      <c r="L209" s="102" t="b">
        <v>0</v>
      </c>
    </row>
    <row r="210" spans="1:12" ht="15">
      <c r="A210" s="97" t="s">
        <v>2915</v>
      </c>
      <c r="B210" s="102" t="s">
        <v>2916</v>
      </c>
      <c r="C210" s="102">
        <v>3</v>
      </c>
      <c r="D210" s="118">
        <v>0.0015219714891077365</v>
      </c>
      <c r="E210" s="118">
        <v>3.0720046720384486</v>
      </c>
      <c r="F210" s="102" t="s">
        <v>3110</v>
      </c>
      <c r="G210" s="102" t="b">
        <v>0</v>
      </c>
      <c r="H210" s="102" t="b">
        <v>0</v>
      </c>
      <c r="I210" s="102" t="b">
        <v>0</v>
      </c>
      <c r="J210" s="102" t="b">
        <v>0</v>
      </c>
      <c r="K210" s="102" t="b">
        <v>0</v>
      </c>
      <c r="L210" s="102" t="b">
        <v>0</v>
      </c>
    </row>
    <row r="211" spans="1:12" ht="15">
      <c r="A211" s="97" t="s">
        <v>2916</v>
      </c>
      <c r="B211" s="102" t="s">
        <v>2740</v>
      </c>
      <c r="C211" s="102">
        <v>3</v>
      </c>
      <c r="D211" s="118">
        <v>0.0015219714891077365</v>
      </c>
      <c r="E211" s="118">
        <v>2.7709746763744674</v>
      </c>
      <c r="F211" s="102" t="s">
        <v>3110</v>
      </c>
      <c r="G211" s="102" t="b">
        <v>0</v>
      </c>
      <c r="H211" s="102" t="b">
        <v>0</v>
      </c>
      <c r="I211" s="102" t="b">
        <v>0</v>
      </c>
      <c r="J211" s="102" t="b">
        <v>0</v>
      </c>
      <c r="K211" s="102" t="b">
        <v>0</v>
      </c>
      <c r="L211" s="102" t="b">
        <v>0</v>
      </c>
    </row>
    <row r="212" spans="1:12" ht="15">
      <c r="A212" s="97" t="s">
        <v>2740</v>
      </c>
      <c r="B212" s="102" t="s">
        <v>712</v>
      </c>
      <c r="C212" s="102">
        <v>3</v>
      </c>
      <c r="D212" s="118">
        <v>0.0015219714891077365</v>
      </c>
      <c r="E212" s="118">
        <v>0.9492428546844233</v>
      </c>
      <c r="F212" s="102" t="s">
        <v>3110</v>
      </c>
      <c r="G212" s="102" t="b">
        <v>0</v>
      </c>
      <c r="H212" s="102" t="b">
        <v>0</v>
      </c>
      <c r="I212" s="102" t="b">
        <v>0</v>
      </c>
      <c r="J212" s="102" t="b">
        <v>0</v>
      </c>
      <c r="K212" s="102" t="b">
        <v>0</v>
      </c>
      <c r="L212" s="102" t="b">
        <v>0</v>
      </c>
    </row>
    <row r="213" spans="1:12" ht="15">
      <c r="A213" s="97" t="s">
        <v>712</v>
      </c>
      <c r="B213" s="102" t="s">
        <v>2917</v>
      </c>
      <c r="C213" s="102">
        <v>3</v>
      </c>
      <c r="D213" s="118">
        <v>0.0015219714891077365</v>
      </c>
      <c r="E213" s="118">
        <v>1.2658246980545613</v>
      </c>
      <c r="F213" s="102" t="s">
        <v>3110</v>
      </c>
      <c r="G213" s="102" t="b">
        <v>0</v>
      </c>
      <c r="H213" s="102" t="b">
        <v>0</v>
      </c>
      <c r="I213" s="102" t="b">
        <v>0</v>
      </c>
      <c r="J213" s="102" t="b">
        <v>0</v>
      </c>
      <c r="K213" s="102" t="b">
        <v>0</v>
      </c>
      <c r="L213" s="102" t="b">
        <v>0</v>
      </c>
    </row>
    <row r="214" spans="1:12" ht="15">
      <c r="A214" s="97" t="s">
        <v>2917</v>
      </c>
      <c r="B214" s="102" t="s">
        <v>2918</v>
      </c>
      <c r="C214" s="102">
        <v>3</v>
      </c>
      <c r="D214" s="118">
        <v>0.0015219714891077365</v>
      </c>
      <c r="E214" s="118">
        <v>3.0720046720384486</v>
      </c>
      <c r="F214" s="102" t="s">
        <v>3110</v>
      </c>
      <c r="G214" s="102" t="b">
        <v>0</v>
      </c>
      <c r="H214" s="102" t="b">
        <v>0</v>
      </c>
      <c r="I214" s="102" t="b">
        <v>0</v>
      </c>
      <c r="J214" s="102" t="b">
        <v>0</v>
      </c>
      <c r="K214" s="102" t="b">
        <v>0</v>
      </c>
      <c r="L214" s="102" t="b">
        <v>0</v>
      </c>
    </row>
    <row r="215" spans="1:12" ht="15">
      <c r="A215" s="97" t="s">
        <v>2918</v>
      </c>
      <c r="B215" s="102" t="s">
        <v>2919</v>
      </c>
      <c r="C215" s="102">
        <v>3</v>
      </c>
      <c r="D215" s="118">
        <v>0.0015219714891077365</v>
      </c>
      <c r="E215" s="118">
        <v>3.0720046720384486</v>
      </c>
      <c r="F215" s="102" t="s">
        <v>3110</v>
      </c>
      <c r="G215" s="102" t="b">
        <v>0</v>
      </c>
      <c r="H215" s="102" t="b">
        <v>0</v>
      </c>
      <c r="I215" s="102" t="b">
        <v>0</v>
      </c>
      <c r="J215" s="102" t="b">
        <v>0</v>
      </c>
      <c r="K215" s="102" t="b">
        <v>0</v>
      </c>
      <c r="L215" s="102" t="b">
        <v>0</v>
      </c>
    </row>
    <row r="216" spans="1:12" ht="15">
      <c r="A216" s="97" t="s">
        <v>2919</v>
      </c>
      <c r="B216" s="102" t="s">
        <v>2920</v>
      </c>
      <c r="C216" s="102">
        <v>3</v>
      </c>
      <c r="D216" s="118">
        <v>0.0015219714891077365</v>
      </c>
      <c r="E216" s="118">
        <v>3.0720046720384486</v>
      </c>
      <c r="F216" s="102" t="s">
        <v>3110</v>
      </c>
      <c r="G216" s="102" t="b">
        <v>0</v>
      </c>
      <c r="H216" s="102" t="b">
        <v>0</v>
      </c>
      <c r="I216" s="102" t="b">
        <v>0</v>
      </c>
      <c r="J216" s="102" t="b">
        <v>0</v>
      </c>
      <c r="K216" s="102" t="b">
        <v>0</v>
      </c>
      <c r="L216" s="102" t="b">
        <v>0</v>
      </c>
    </row>
    <row r="217" spans="1:12" ht="15">
      <c r="A217" s="97" t="s">
        <v>2920</v>
      </c>
      <c r="B217" s="102" t="s">
        <v>2921</v>
      </c>
      <c r="C217" s="102">
        <v>3</v>
      </c>
      <c r="D217" s="118">
        <v>0.0015219714891077365</v>
      </c>
      <c r="E217" s="118">
        <v>3.0720046720384486</v>
      </c>
      <c r="F217" s="102" t="s">
        <v>3110</v>
      </c>
      <c r="G217" s="102" t="b">
        <v>0</v>
      </c>
      <c r="H217" s="102" t="b">
        <v>0</v>
      </c>
      <c r="I217" s="102" t="b">
        <v>0</v>
      </c>
      <c r="J217" s="102" t="b">
        <v>0</v>
      </c>
      <c r="K217" s="102" t="b">
        <v>0</v>
      </c>
      <c r="L217" s="102" t="b">
        <v>0</v>
      </c>
    </row>
    <row r="218" spans="1:12" ht="15">
      <c r="A218" s="97" t="s">
        <v>2921</v>
      </c>
      <c r="B218" s="102" t="s">
        <v>2922</v>
      </c>
      <c r="C218" s="102">
        <v>3</v>
      </c>
      <c r="D218" s="118">
        <v>0.0015219714891077365</v>
      </c>
      <c r="E218" s="118">
        <v>3.0720046720384486</v>
      </c>
      <c r="F218" s="102" t="s">
        <v>3110</v>
      </c>
      <c r="G218" s="102" t="b">
        <v>0</v>
      </c>
      <c r="H218" s="102" t="b">
        <v>0</v>
      </c>
      <c r="I218" s="102" t="b">
        <v>0</v>
      </c>
      <c r="J218" s="102" t="b">
        <v>0</v>
      </c>
      <c r="K218" s="102" t="b">
        <v>0</v>
      </c>
      <c r="L218" s="102" t="b">
        <v>0</v>
      </c>
    </row>
    <row r="219" spans="1:12" ht="15">
      <c r="A219" s="97" t="s">
        <v>2922</v>
      </c>
      <c r="B219" s="102" t="s">
        <v>2923</v>
      </c>
      <c r="C219" s="102">
        <v>3</v>
      </c>
      <c r="D219" s="118">
        <v>0.0015219714891077365</v>
      </c>
      <c r="E219" s="118">
        <v>3.0720046720384486</v>
      </c>
      <c r="F219" s="102" t="s">
        <v>3110</v>
      </c>
      <c r="G219" s="102" t="b">
        <v>0</v>
      </c>
      <c r="H219" s="102" t="b">
        <v>0</v>
      </c>
      <c r="I219" s="102" t="b">
        <v>0</v>
      </c>
      <c r="J219" s="102" t="b">
        <v>0</v>
      </c>
      <c r="K219" s="102" t="b">
        <v>0</v>
      </c>
      <c r="L219" s="102" t="b">
        <v>0</v>
      </c>
    </row>
    <row r="220" spans="1:12" ht="15">
      <c r="A220" s="97" t="s">
        <v>2923</v>
      </c>
      <c r="B220" s="102" t="s">
        <v>2924</v>
      </c>
      <c r="C220" s="102">
        <v>3</v>
      </c>
      <c r="D220" s="118">
        <v>0.0015219714891077365</v>
      </c>
      <c r="E220" s="118">
        <v>3.0720046720384486</v>
      </c>
      <c r="F220" s="102" t="s">
        <v>3110</v>
      </c>
      <c r="G220" s="102" t="b">
        <v>0</v>
      </c>
      <c r="H220" s="102" t="b">
        <v>0</v>
      </c>
      <c r="I220" s="102" t="b">
        <v>0</v>
      </c>
      <c r="J220" s="102" t="b">
        <v>0</v>
      </c>
      <c r="K220" s="102" t="b">
        <v>0</v>
      </c>
      <c r="L220" s="102" t="b">
        <v>0</v>
      </c>
    </row>
    <row r="221" spans="1:12" ht="15">
      <c r="A221" s="97" t="s">
        <v>2924</v>
      </c>
      <c r="B221" s="102" t="s">
        <v>2925</v>
      </c>
      <c r="C221" s="102">
        <v>3</v>
      </c>
      <c r="D221" s="118">
        <v>0.0015219714891077365</v>
      </c>
      <c r="E221" s="118">
        <v>3.0720046720384486</v>
      </c>
      <c r="F221" s="102" t="s">
        <v>3110</v>
      </c>
      <c r="G221" s="102" t="b">
        <v>0</v>
      </c>
      <c r="H221" s="102" t="b">
        <v>0</v>
      </c>
      <c r="I221" s="102" t="b">
        <v>0</v>
      </c>
      <c r="J221" s="102" t="b">
        <v>0</v>
      </c>
      <c r="K221" s="102" t="b">
        <v>0</v>
      </c>
      <c r="L221" s="102" t="b">
        <v>0</v>
      </c>
    </row>
    <row r="222" spans="1:12" ht="15">
      <c r="A222" s="97" t="s">
        <v>2925</v>
      </c>
      <c r="B222" s="102" t="s">
        <v>2926</v>
      </c>
      <c r="C222" s="102">
        <v>3</v>
      </c>
      <c r="D222" s="118">
        <v>0.0015219714891077365</v>
      </c>
      <c r="E222" s="118">
        <v>3.0720046720384486</v>
      </c>
      <c r="F222" s="102" t="s">
        <v>3110</v>
      </c>
      <c r="G222" s="102" t="b">
        <v>0</v>
      </c>
      <c r="H222" s="102" t="b">
        <v>0</v>
      </c>
      <c r="I222" s="102" t="b">
        <v>0</v>
      </c>
      <c r="J222" s="102" t="b">
        <v>0</v>
      </c>
      <c r="K222" s="102" t="b">
        <v>0</v>
      </c>
      <c r="L222" s="102" t="b">
        <v>0</v>
      </c>
    </row>
    <row r="223" spans="1:12" ht="15">
      <c r="A223" s="97" t="s">
        <v>2926</v>
      </c>
      <c r="B223" s="102" t="s">
        <v>386</v>
      </c>
      <c r="C223" s="102">
        <v>3</v>
      </c>
      <c r="D223" s="118">
        <v>0.0015219714891077365</v>
      </c>
      <c r="E223" s="118">
        <v>3.0720046720384486</v>
      </c>
      <c r="F223" s="102" t="s">
        <v>3110</v>
      </c>
      <c r="G223" s="102" t="b">
        <v>0</v>
      </c>
      <c r="H223" s="102" t="b">
        <v>0</v>
      </c>
      <c r="I223" s="102" t="b">
        <v>0</v>
      </c>
      <c r="J223" s="102" t="b">
        <v>0</v>
      </c>
      <c r="K223" s="102" t="b">
        <v>0</v>
      </c>
      <c r="L223" s="102" t="b">
        <v>0</v>
      </c>
    </row>
    <row r="224" spans="1:12" ht="15">
      <c r="A224" s="97" t="s">
        <v>386</v>
      </c>
      <c r="B224" s="102" t="s">
        <v>2927</v>
      </c>
      <c r="C224" s="102">
        <v>3</v>
      </c>
      <c r="D224" s="118">
        <v>0.0015219714891077365</v>
      </c>
      <c r="E224" s="118">
        <v>3.0720046720384486</v>
      </c>
      <c r="F224" s="102" t="s">
        <v>3110</v>
      </c>
      <c r="G224" s="102" t="b">
        <v>0</v>
      </c>
      <c r="H224" s="102" t="b">
        <v>0</v>
      </c>
      <c r="I224" s="102" t="b">
        <v>0</v>
      </c>
      <c r="J224" s="102" t="b">
        <v>0</v>
      </c>
      <c r="K224" s="102" t="b">
        <v>0</v>
      </c>
      <c r="L224" s="102" t="b">
        <v>0</v>
      </c>
    </row>
    <row r="225" spans="1:12" ht="15">
      <c r="A225" s="97" t="s">
        <v>2927</v>
      </c>
      <c r="B225" s="102" t="s">
        <v>2928</v>
      </c>
      <c r="C225" s="102">
        <v>3</v>
      </c>
      <c r="D225" s="118">
        <v>0.0015219714891077365</v>
      </c>
      <c r="E225" s="118">
        <v>3.0720046720384486</v>
      </c>
      <c r="F225" s="102" t="s">
        <v>3110</v>
      </c>
      <c r="G225" s="102" t="b">
        <v>0</v>
      </c>
      <c r="H225" s="102" t="b">
        <v>0</v>
      </c>
      <c r="I225" s="102" t="b">
        <v>0</v>
      </c>
      <c r="J225" s="102" t="b">
        <v>0</v>
      </c>
      <c r="K225" s="102" t="b">
        <v>0</v>
      </c>
      <c r="L225" s="102" t="b">
        <v>0</v>
      </c>
    </row>
    <row r="226" spans="1:12" ht="15">
      <c r="A226" s="97" t="s">
        <v>2928</v>
      </c>
      <c r="B226" s="102" t="s">
        <v>2929</v>
      </c>
      <c r="C226" s="102">
        <v>3</v>
      </c>
      <c r="D226" s="118">
        <v>0.0015219714891077365</v>
      </c>
      <c r="E226" s="118">
        <v>3.0720046720384486</v>
      </c>
      <c r="F226" s="102" t="s">
        <v>3110</v>
      </c>
      <c r="G226" s="102" t="b">
        <v>0</v>
      </c>
      <c r="H226" s="102" t="b">
        <v>0</v>
      </c>
      <c r="I226" s="102" t="b">
        <v>0</v>
      </c>
      <c r="J226" s="102" t="b">
        <v>0</v>
      </c>
      <c r="K226" s="102" t="b">
        <v>0</v>
      </c>
      <c r="L226" s="102" t="b">
        <v>0</v>
      </c>
    </row>
    <row r="227" spans="1:12" ht="15">
      <c r="A227" s="97" t="s">
        <v>2929</v>
      </c>
      <c r="B227" s="102" t="s">
        <v>2930</v>
      </c>
      <c r="C227" s="102">
        <v>3</v>
      </c>
      <c r="D227" s="118">
        <v>0.0015219714891077365</v>
      </c>
      <c r="E227" s="118">
        <v>3.0720046720384486</v>
      </c>
      <c r="F227" s="102" t="s">
        <v>3110</v>
      </c>
      <c r="G227" s="102" t="b">
        <v>0</v>
      </c>
      <c r="H227" s="102" t="b">
        <v>0</v>
      </c>
      <c r="I227" s="102" t="b">
        <v>0</v>
      </c>
      <c r="J227" s="102" t="b">
        <v>0</v>
      </c>
      <c r="K227" s="102" t="b">
        <v>0</v>
      </c>
      <c r="L227" s="102" t="b">
        <v>0</v>
      </c>
    </row>
    <row r="228" spans="1:12" ht="15">
      <c r="A228" s="97" t="s">
        <v>2733</v>
      </c>
      <c r="B228" s="102" t="s">
        <v>2946</v>
      </c>
      <c r="C228" s="102">
        <v>2</v>
      </c>
      <c r="D228" s="118">
        <v>0.0011074983101068089</v>
      </c>
      <c r="E228" s="118">
        <v>2.7709746763744674</v>
      </c>
      <c r="F228" s="102" t="s">
        <v>3110</v>
      </c>
      <c r="G228" s="102" t="b">
        <v>0</v>
      </c>
      <c r="H228" s="102" t="b">
        <v>0</v>
      </c>
      <c r="I228" s="102" t="b">
        <v>0</v>
      </c>
      <c r="J228" s="102" t="b">
        <v>0</v>
      </c>
      <c r="K228" s="102" t="b">
        <v>0</v>
      </c>
      <c r="L228" s="102" t="b">
        <v>0</v>
      </c>
    </row>
    <row r="229" spans="1:12" ht="15">
      <c r="A229" s="97" t="s">
        <v>399</v>
      </c>
      <c r="B229" s="102" t="s">
        <v>2673</v>
      </c>
      <c r="C229" s="102">
        <v>2</v>
      </c>
      <c r="D229" s="118">
        <v>0.0011074983101068089</v>
      </c>
      <c r="E229" s="118">
        <v>1.6828385876739163</v>
      </c>
      <c r="F229" s="102" t="s">
        <v>3110</v>
      </c>
      <c r="G229" s="102" t="b">
        <v>0</v>
      </c>
      <c r="H229" s="102" t="b">
        <v>0</v>
      </c>
      <c r="I229" s="102" t="b">
        <v>0</v>
      </c>
      <c r="J229" s="102" t="b">
        <v>0</v>
      </c>
      <c r="K229" s="102" t="b">
        <v>0</v>
      </c>
      <c r="L229" s="102" t="b">
        <v>0</v>
      </c>
    </row>
    <row r="230" spans="1:12" ht="15">
      <c r="A230" s="97" t="s">
        <v>2673</v>
      </c>
      <c r="B230" s="102" t="s">
        <v>2949</v>
      </c>
      <c r="C230" s="102">
        <v>2</v>
      </c>
      <c r="D230" s="118">
        <v>0.0011074983101068089</v>
      </c>
      <c r="E230" s="118">
        <v>2.2269066320241917</v>
      </c>
      <c r="F230" s="102" t="s">
        <v>3110</v>
      </c>
      <c r="G230" s="102" t="b">
        <v>0</v>
      </c>
      <c r="H230" s="102" t="b">
        <v>0</v>
      </c>
      <c r="I230" s="102" t="b">
        <v>0</v>
      </c>
      <c r="J230" s="102" t="b">
        <v>0</v>
      </c>
      <c r="K230" s="102" t="b">
        <v>0</v>
      </c>
      <c r="L230" s="102" t="b">
        <v>0</v>
      </c>
    </row>
    <row r="231" spans="1:12" ht="15">
      <c r="A231" s="97" t="s">
        <v>499</v>
      </c>
      <c r="B231" s="102" t="s">
        <v>498</v>
      </c>
      <c r="C231" s="102">
        <v>2</v>
      </c>
      <c r="D231" s="118">
        <v>0.0011074983101068089</v>
      </c>
      <c r="E231" s="118">
        <v>3.24809593109413</v>
      </c>
      <c r="F231" s="102" t="s">
        <v>3110</v>
      </c>
      <c r="G231" s="102" t="b">
        <v>0</v>
      </c>
      <c r="H231" s="102" t="b">
        <v>0</v>
      </c>
      <c r="I231" s="102" t="b">
        <v>0</v>
      </c>
      <c r="J231" s="102" t="b">
        <v>0</v>
      </c>
      <c r="K231" s="102" t="b">
        <v>0</v>
      </c>
      <c r="L231" s="102" t="b">
        <v>0</v>
      </c>
    </row>
    <row r="232" spans="1:12" ht="15">
      <c r="A232" s="97" t="s">
        <v>390</v>
      </c>
      <c r="B232" s="102" t="s">
        <v>712</v>
      </c>
      <c r="C232" s="102">
        <v>2</v>
      </c>
      <c r="D232" s="118">
        <v>0.0011074983101068089</v>
      </c>
      <c r="E232" s="118">
        <v>0.8523328416763668</v>
      </c>
      <c r="F232" s="102" t="s">
        <v>3110</v>
      </c>
      <c r="G232" s="102" t="b">
        <v>0</v>
      </c>
      <c r="H232" s="102" t="b">
        <v>0</v>
      </c>
      <c r="I232" s="102" t="b">
        <v>0</v>
      </c>
      <c r="J232" s="102" t="b">
        <v>0</v>
      </c>
      <c r="K232" s="102" t="b">
        <v>0</v>
      </c>
      <c r="L232" s="102" t="b">
        <v>0</v>
      </c>
    </row>
    <row r="233" spans="1:12" ht="15">
      <c r="A233" s="97" t="s">
        <v>448</v>
      </c>
      <c r="B233" s="102" t="s">
        <v>2816</v>
      </c>
      <c r="C233" s="102">
        <v>2</v>
      </c>
      <c r="D233" s="118">
        <v>0.0011074983101068089</v>
      </c>
      <c r="E233" s="118">
        <v>2.527936627688173</v>
      </c>
      <c r="F233" s="102" t="s">
        <v>3110</v>
      </c>
      <c r="G233" s="102" t="b">
        <v>0</v>
      </c>
      <c r="H233" s="102" t="b">
        <v>0</v>
      </c>
      <c r="I233" s="102" t="b">
        <v>0</v>
      </c>
      <c r="J233" s="102" t="b">
        <v>0</v>
      </c>
      <c r="K233" s="102" t="b">
        <v>0</v>
      </c>
      <c r="L233" s="102" t="b">
        <v>0</v>
      </c>
    </row>
    <row r="234" spans="1:12" ht="15">
      <c r="A234" s="97" t="s">
        <v>712</v>
      </c>
      <c r="B234" s="102" t="s">
        <v>2964</v>
      </c>
      <c r="C234" s="102">
        <v>2</v>
      </c>
      <c r="D234" s="118">
        <v>0.0011074983101068089</v>
      </c>
      <c r="E234" s="118">
        <v>1.2658246980545613</v>
      </c>
      <c r="F234" s="102" t="s">
        <v>3110</v>
      </c>
      <c r="G234" s="102" t="b">
        <v>0</v>
      </c>
      <c r="H234" s="102" t="b">
        <v>0</v>
      </c>
      <c r="I234" s="102" t="b">
        <v>0</v>
      </c>
      <c r="J234" s="102" t="b">
        <v>0</v>
      </c>
      <c r="K234" s="102" t="b">
        <v>0</v>
      </c>
      <c r="L234" s="102" t="b">
        <v>0</v>
      </c>
    </row>
    <row r="235" spans="1:12" ht="15">
      <c r="A235" s="97" t="s">
        <v>2964</v>
      </c>
      <c r="B235" s="102" t="s">
        <v>2965</v>
      </c>
      <c r="C235" s="102">
        <v>2</v>
      </c>
      <c r="D235" s="118">
        <v>0.0011074983101068089</v>
      </c>
      <c r="E235" s="118">
        <v>3.24809593109413</v>
      </c>
      <c r="F235" s="102" t="s">
        <v>3110</v>
      </c>
      <c r="G235" s="102" t="b">
        <v>0</v>
      </c>
      <c r="H235" s="102" t="b">
        <v>0</v>
      </c>
      <c r="I235" s="102" t="b">
        <v>0</v>
      </c>
      <c r="J235" s="102" t="b">
        <v>0</v>
      </c>
      <c r="K235" s="102" t="b">
        <v>0</v>
      </c>
      <c r="L235" s="102" t="b">
        <v>0</v>
      </c>
    </row>
    <row r="236" spans="1:12" ht="15">
      <c r="A236" s="97" t="s">
        <v>2965</v>
      </c>
      <c r="B236" s="102" t="s">
        <v>2966</v>
      </c>
      <c r="C236" s="102">
        <v>2</v>
      </c>
      <c r="D236" s="118">
        <v>0.0011074983101068089</v>
      </c>
      <c r="E236" s="118">
        <v>3.24809593109413</v>
      </c>
      <c r="F236" s="102" t="s">
        <v>3110</v>
      </c>
      <c r="G236" s="102" t="b">
        <v>0</v>
      </c>
      <c r="H236" s="102" t="b">
        <v>0</v>
      </c>
      <c r="I236" s="102" t="b">
        <v>0</v>
      </c>
      <c r="J236" s="102" t="b">
        <v>0</v>
      </c>
      <c r="K236" s="102" t="b">
        <v>0</v>
      </c>
      <c r="L236" s="102" t="b">
        <v>0</v>
      </c>
    </row>
    <row r="237" spans="1:12" ht="15">
      <c r="A237" s="97" t="s">
        <v>2966</v>
      </c>
      <c r="B237" s="102" t="s">
        <v>2739</v>
      </c>
      <c r="C237" s="102">
        <v>2</v>
      </c>
      <c r="D237" s="118">
        <v>0.0011074983101068089</v>
      </c>
      <c r="E237" s="118">
        <v>2.7709746763744674</v>
      </c>
      <c r="F237" s="102" t="s">
        <v>3110</v>
      </c>
      <c r="G237" s="102" t="b">
        <v>0</v>
      </c>
      <c r="H237" s="102" t="b">
        <v>0</v>
      </c>
      <c r="I237" s="102" t="b">
        <v>0</v>
      </c>
      <c r="J237" s="102" t="b">
        <v>0</v>
      </c>
      <c r="K237" s="102" t="b">
        <v>0</v>
      </c>
      <c r="L237" s="102" t="b">
        <v>0</v>
      </c>
    </row>
    <row r="238" spans="1:12" ht="15">
      <c r="A238" s="97" t="s">
        <v>2739</v>
      </c>
      <c r="B238" s="102" t="s">
        <v>2841</v>
      </c>
      <c r="C238" s="102">
        <v>2</v>
      </c>
      <c r="D238" s="118">
        <v>0.0011074983101068089</v>
      </c>
      <c r="E238" s="118">
        <v>2.7709746763744674</v>
      </c>
      <c r="F238" s="102" t="s">
        <v>3110</v>
      </c>
      <c r="G238" s="102" t="b">
        <v>0</v>
      </c>
      <c r="H238" s="102" t="b">
        <v>0</v>
      </c>
      <c r="I238" s="102" t="b">
        <v>0</v>
      </c>
      <c r="J238" s="102" t="b">
        <v>0</v>
      </c>
      <c r="K238" s="102" t="b">
        <v>0</v>
      </c>
      <c r="L238" s="102" t="b">
        <v>0</v>
      </c>
    </row>
    <row r="239" spans="1:12" ht="15">
      <c r="A239" s="97" t="s">
        <v>2841</v>
      </c>
      <c r="B239" s="102" t="s">
        <v>2739</v>
      </c>
      <c r="C239" s="102">
        <v>2</v>
      </c>
      <c r="D239" s="118">
        <v>0.0011074983101068089</v>
      </c>
      <c r="E239" s="118">
        <v>2.594883417318786</v>
      </c>
      <c r="F239" s="102" t="s">
        <v>3110</v>
      </c>
      <c r="G239" s="102" t="b">
        <v>0</v>
      </c>
      <c r="H239" s="102" t="b">
        <v>0</v>
      </c>
      <c r="I239" s="102" t="b">
        <v>0</v>
      </c>
      <c r="J239" s="102" t="b">
        <v>0</v>
      </c>
      <c r="K239" s="102" t="b">
        <v>0</v>
      </c>
      <c r="L239" s="102" t="b">
        <v>0</v>
      </c>
    </row>
    <row r="240" spans="1:12" ht="15">
      <c r="A240" s="97" t="s">
        <v>494</v>
      </c>
      <c r="B240" s="102" t="s">
        <v>712</v>
      </c>
      <c r="C240" s="102">
        <v>2</v>
      </c>
      <c r="D240" s="118">
        <v>0.0011074983101068089</v>
      </c>
      <c r="E240" s="118">
        <v>1.074181591292723</v>
      </c>
      <c r="F240" s="102" t="s">
        <v>3110</v>
      </c>
      <c r="G240" s="102" t="b">
        <v>0</v>
      </c>
      <c r="H240" s="102" t="b">
        <v>0</v>
      </c>
      <c r="I240" s="102" t="b">
        <v>0</v>
      </c>
      <c r="J240" s="102" t="b">
        <v>0</v>
      </c>
      <c r="K240" s="102" t="b">
        <v>0</v>
      </c>
      <c r="L240" s="102" t="b">
        <v>0</v>
      </c>
    </row>
    <row r="241" spans="1:12" ht="15">
      <c r="A241" s="97" t="s">
        <v>2704</v>
      </c>
      <c r="B241" s="102" t="s">
        <v>2833</v>
      </c>
      <c r="C241" s="102">
        <v>2</v>
      </c>
      <c r="D241" s="118">
        <v>0.0011074983101068089</v>
      </c>
      <c r="E241" s="118">
        <v>2.259091315395593</v>
      </c>
      <c r="F241" s="102" t="s">
        <v>3110</v>
      </c>
      <c r="G241" s="102" t="b">
        <v>0</v>
      </c>
      <c r="H241" s="102" t="b">
        <v>0</v>
      </c>
      <c r="I241" s="102" t="b">
        <v>0</v>
      </c>
      <c r="J241" s="102" t="b">
        <v>0</v>
      </c>
      <c r="K241" s="102" t="b">
        <v>0</v>
      </c>
      <c r="L241" s="102" t="b">
        <v>0</v>
      </c>
    </row>
    <row r="242" spans="1:12" ht="15">
      <c r="A242" s="97" t="s">
        <v>2685</v>
      </c>
      <c r="B242" s="102" t="s">
        <v>2977</v>
      </c>
      <c r="C242" s="102">
        <v>2</v>
      </c>
      <c r="D242" s="118">
        <v>0.0011074983101068089</v>
      </c>
      <c r="E242" s="118">
        <v>2.4351825744512743</v>
      </c>
      <c r="F242" s="102" t="s">
        <v>3110</v>
      </c>
      <c r="G242" s="102" t="b">
        <v>0</v>
      </c>
      <c r="H242" s="102" t="b">
        <v>0</v>
      </c>
      <c r="I242" s="102" t="b">
        <v>0</v>
      </c>
      <c r="J242" s="102" t="b">
        <v>0</v>
      </c>
      <c r="K242" s="102" t="b">
        <v>0</v>
      </c>
      <c r="L242" s="102" t="b">
        <v>0</v>
      </c>
    </row>
    <row r="243" spans="1:12" ht="15">
      <c r="A243" s="97" t="s">
        <v>2867</v>
      </c>
      <c r="B243" s="102" t="s">
        <v>2685</v>
      </c>
      <c r="C243" s="102">
        <v>2</v>
      </c>
      <c r="D243" s="118">
        <v>0.0011074983101068089</v>
      </c>
      <c r="E243" s="118">
        <v>2.2269066320241917</v>
      </c>
      <c r="F243" s="102" t="s">
        <v>3110</v>
      </c>
      <c r="G243" s="102" t="b">
        <v>0</v>
      </c>
      <c r="H243" s="102" t="b">
        <v>0</v>
      </c>
      <c r="I243" s="102" t="b">
        <v>0</v>
      </c>
      <c r="J243" s="102" t="b">
        <v>0</v>
      </c>
      <c r="K243" s="102" t="b">
        <v>0</v>
      </c>
      <c r="L243" s="102" t="b">
        <v>0</v>
      </c>
    </row>
    <row r="244" spans="1:12" ht="15">
      <c r="A244" s="97" t="s">
        <v>2870</v>
      </c>
      <c r="B244" s="102" t="s">
        <v>2989</v>
      </c>
      <c r="C244" s="102">
        <v>2</v>
      </c>
      <c r="D244" s="118">
        <v>0.0011074983101068089</v>
      </c>
      <c r="E244" s="118">
        <v>3.0720046720384486</v>
      </c>
      <c r="F244" s="102" t="s">
        <v>3110</v>
      </c>
      <c r="G244" s="102" t="b">
        <v>0</v>
      </c>
      <c r="H244" s="102" t="b">
        <v>0</v>
      </c>
      <c r="I244" s="102" t="b">
        <v>0</v>
      </c>
      <c r="J244" s="102" t="b">
        <v>0</v>
      </c>
      <c r="K244" s="102" t="b">
        <v>0</v>
      </c>
      <c r="L244" s="102" t="b">
        <v>0</v>
      </c>
    </row>
    <row r="245" spans="1:12" ht="15">
      <c r="A245" s="97" t="s">
        <v>2989</v>
      </c>
      <c r="B245" s="102" t="s">
        <v>2990</v>
      </c>
      <c r="C245" s="102">
        <v>2</v>
      </c>
      <c r="D245" s="118">
        <v>0.0011074983101068089</v>
      </c>
      <c r="E245" s="118">
        <v>3.24809593109413</v>
      </c>
      <c r="F245" s="102" t="s">
        <v>3110</v>
      </c>
      <c r="G245" s="102" t="b">
        <v>0</v>
      </c>
      <c r="H245" s="102" t="b">
        <v>0</v>
      </c>
      <c r="I245" s="102" t="b">
        <v>0</v>
      </c>
      <c r="J245" s="102" t="b">
        <v>0</v>
      </c>
      <c r="K245" s="102" t="b">
        <v>0</v>
      </c>
      <c r="L245" s="102" t="b">
        <v>0</v>
      </c>
    </row>
    <row r="246" spans="1:12" ht="15">
      <c r="A246" s="97" t="s">
        <v>2990</v>
      </c>
      <c r="B246" s="102" t="s">
        <v>2871</v>
      </c>
      <c r="C246" s="102">
        <v>2</v>
      </c>
      <c r="D246" s="118">
        <v>0.0011074983101068089</v>
      </c>
      <c r="E246" s="118">
        <v>3.0720046720384486</v>
      </c>
      <c r="F246" s="102" t="s">
        <v>3110</v>
      </c>
      <c r="G246" s="102" t="b">
        <v>0</v>
      </c>
      <c r="H246" s="102" t="b">
        <v>0</v>
      </c>
      <c r="I246" s="102" t="b">
        <v>0</v>
      </c>
      <c r="J246" s="102" t="b">
        <v>0</v>
      </c>
      <c r="K246" s="102" t="b">
        <v>0</v>
      </c>
      <c r="L246" s="102" t="b">
        <v>0</v>
      </c>
    </row>
    <row r="247" spans="1:12" ht="15">
      <c r="A247" s="97" t="s">
        <v>2871</v>
      </c>
      <c r="B247" s="102" t="s">
        <v>2991</v>
      </c>
      <c r="C247" s="102">
        <v>2</v>
      </c>
      <c r="D247" s="118">
        <v>0.0011074983101068089</v>
      </c>
      <c r="E247" s="118">
        <v>3.0720046720384486</v>
      </c>
      <c r="F247" s="102" t="s">
        <v>3110</v>
      </c>
      <c r="G247" s="102" t="b">
        <v>0</v>
      </c>
      <c r="H247" s="102" t="b">
        <v>0</v>
      </c>
      <c r="I247" s="102" t="b">
        <v>0</v>
      </c>
      <c r="J247" s="102" t="b">
        <v>0</v>
      </c>
      <c r="K247" s="102" t="b">
        <v>0</v>
      </c>
      <c r="L247" s="102" t="b">
        <v>0</v>
      </c>
    </row>
    <row r="248" spans="1:12" ht="15">
      <c r="A248" s="97" t="s">
        <v>2991</v>
      </c>
      <c r="B248" s="102" t="s">
        <v>2730</v>
      </c>
      <c r="C248" s="102">
        <v>2</v>
      </c>
      <c r="D248" s="118">
        <v>0.0011074983101068089</v>
      </c>
      <c r="E248" s="118">
        <v>2.7709746763744674</v>
      </c>
      <c r="F248" s="102" t="s">
        <v>3110</v>
      </c>
      <c r="G248" s="102" t="b">
        <v>0</v>
      </c>
      <c r="H248" s="102" t="b">
        <v>0</v>
      </c>
      <c r="I248" s="102" t="b">
        <v>0</v>
      </c>
      <c r="J248" s="102" t="b">
        <v>0</v>
      </c>
      <c r="K248" s="102" t="b">
        <v>0</v>
      </c>
      <c r="L248" s="102" t="b">
        <v>0</v>
      </c>
    </row>
    <row r="249" spans="1:12" ht="15">
      <c r="A249" s="97" t="s">
        <v>2730</v>
      </c>
      <c r="B249" s="102" t="s">
        <v>2992</v>
      </c>
      <c r="C249" s="102">
        <v>2</v>
      </c>
      <c r="D249" s="118">
        <v>0.0011074983101068089</v>
      </c>
      <c r="E249" s="118">
        <v>2.7709746763744674</v>
      </c>
      <c r="F249" s="102" t="s">
        <v>3110</v>
      </c>
      <c r="G249" s="102" t="b">
        <v>0</v>
      </c>
      <c r="H249" s="102" t="b">
        <v>0</v>
      </c>
      <c r="I249" s="102" t="b">
        <v>0</v>
      </c>
      <c r="J249" s="102" t="b">
        <v>0</v>
      </c>
      <c r="K249" s="102" t="b">
        <v>0</v>
      </c>
      <c r="L249" s="102" t="b">
        <v>0</v>
      </c>
    </row>
    <row r="250" spans="1:12" ht="15">
      <c r="A250" s="97" t="s">
        <v>2992</v>
      </c>
      <c r="B250" s="102" t="s">
        <v>712</v>
      </c>
      <c r="C250" s="102">
        <v>2</v>
      </c>
      <c r="D250" s="118">
        <v>0.0011074983101068089</v>
      </c>
      <c r="E250" s="118">
        <v>1.2502728503484044</v>
      </c>
      <c r="F250" s="102" t="s">
        <v>3110</v>
      </c>
      <c r="G250" s="102" t="b">
        <v>0</v>
      </c>
      <c r="H250" s="102" t="b">
        <v>0</v>
      </c>
      <c r="I250" s="102" t="b">
        <v>0</v>
      </c>
      <c r="J250" s="102" t="b">
        <v>0</v>
      </c>
      <c r="K250" s="102" t="b">
        <v>0</v>
      </c>
      <c r="L250" s="102" t="b">
        <v>0</v>
      </c>
    </row>
    <row r="251" spans="1:12" ht="15">
      <c r="A251" s="97" t="s">
        <v>712</v>
      </c>
      <c r="B251" s="102" t="s">
        <v>2993</v>
      </c>
      <c r="C251" s="102">
        <v>2</v>
      </c>
      <c r="D251" s="118">
        <v>0.0011074983101068089</v>
      </c>
      <c r="E251" s="118">
        <v>1.2658246980545613</v>
      </c>
      <c r="F251" s="102" t="s">
        <v>3110</v>
      </c>
      <c r="G251" s="102" t="b">
        <v>0</v>
      </c>
      <c r="H251" s="102" t="b">
        <v>0</v>
      </c>
      <c r="I251" s="102" t="b">
        <v>0</v>
      </c>
      <c r="J251" s="102" t="b">
        <v>0</v>
      </c>
      <c r="K251" s="102" t="b">
        <v>0</v>
      </c>
      <c r="L251" s="102" t="b">
        <v>0</v>
      </c>
    </row>
    <row r="252" spans="1:12" ht="15">
      <c r="A252" s="97" t="s">
        <v>2993</v>
      </c>
      <c r="B252" s="102" t="s">
        <v>2872</v>
      </c>
      <c r="C252" s="102">
        <v>2</v>
      </c>
      <c r="D252" s="118">
        <v>0.0011074983101068089</v>
      </c>
      <c r="E252" s="118">
        <v>3.0720046720384486</v>
      </c>
      <c r="F252" s="102" t="s">
        <v>3110</v>
      </c>
      <c r="G252" s="102" t="b">
        <v>0</v>
      </c>
      <c r="H252" s="102" t="b">
        <v>0</v>
      </c>
      <c r="I252" s="102" t="b">
        <v>0</v>
      </c>
      <c r="J252" s="102" t="b">
        <v>0</v>
      </c>
      <c r="K252" s="102" t="b">
        <v>0</v>
      </c>
      <c r="L252" s="102" t="b">
        <v>0</v>
      </c>
    </row>
    <row r="253" spans="1:12" ht="15">
      <c r="A253" s="97" t="s">
        <v>2872</v>
      </c>
      <c r="B253" s="102" t="s">
        <v>2682</v>
      </c>
      <c r="C253" s="102">
        <v>2</v>
      </c>
      <c r="D253" s="118">
        <v>0.0011074983101068089</v>
      </c>
      <c r="E253" s="118">
        <v>2.1969434086467485</v>
      </c>
      <c r="F253" s="102" t="s">
        <v>3110</v>
      </c>
      <c r="G253" s="102" t="b">
        <v>0</v>
      </c>
      <c r="H253" s="102" t="b">
        <v>0</v>
      </c>
      <c r="I253" s="102" t="b">
        <v>0</v>
      </c>
      <c r="J253" s="102" t="b">
        <v>0</v>
      </c>
      <c r="K253" s="102" t="b">
        <v>0</v>
      </c>
      <c r="L253" s="102" t="b">
        <v>0</v>
      </c>
    </row>
    <row r="254" spans="1:12" ht="15">
      <c r="A254" s="97" t="s">
        <v>2717</v>
      </c>
      <c r="B254" s="102" t="s">
        <v>2994</v>
      </c>
      <c r="C254" s="102">
        <v>2</v>
      </c>
      <c r="D254" s="118">
        <v>0.0011074983101068089</v>
      </c>
      <c r="E254" s="118">
        <v>2.7709746763744674</v>
      </c>
      <c r="F254" s="102" t="s">
        <v>3110</v>
      </c>
      <c r="G254" s="102" t="b">
        <v>0</v>
      </c>
      <c r="H254" s="102" t="b">
        <v>0</v>
      </c>
      <c r="I254" s="102" t="b">
        <v>0</v>
      </c>
      <c r="J254" s="102" t="b">
        <v>0</v>
      </c>
      <c r="K254" s="102" t="b">
        <v>0</v>
      </c>
      <c r="L254" s="102" t="b">
        <v>0</v>
      </c>
    </row>
    <row r="255" spans="1:12" ht="15">
      <c r="A255" s="97" t="s">
        <v>2994</v>
      </c>
      <c r="B255" s="102" t="s">
        <v>2995</v>
      </c>
      <c r="C255" s="102">
        <v>2</v>
      </c>
      <c r="D255" s="118">
        <v>0.0011074983101068089</v>
      </c>
      <c r="E255" s="118">
        <v>3.24809593109413</v>
      </c>
      <c r="F255" s="102" t="s">
        <v>3110</v>
      </c>
      <c r="G255" s="102" t="b">
        <v>0</v>
      </c>
      <c r="H255" s="102" t="b">
        <v>0</v>
      </c>
      <c r="I255" s="102" t="b">
        <v>0</v>
      </c>
      <c r="J255" s="102" t="b">
        <v>0</v>
      </c>
      <c r="K255" s="102" t="b">
        <v>0</v>
      </c>
      <c r="L255" s="102" t="b">
        <v>0</v>
      </c>
    </row>
    <row r="256" spans="1:12" ht="15">
      <c r="A256" s="97" t="s">
        <v>2995</v>
      </c>
      <c r="B256" s="102" t="s">
        <v>2996</v>
      </c>
      <c r="C256" s="102">
        <v>2</v>
      </c>
      <c r="D256" s="118">
        <v>0.0011074983101068089</v>
      </c>
      <c r="E256" s="118">
        <v>3.24809593109413</v>
      </c>
      <c r="F256" s="102" t="s">
        <v>3110</v>
      </c>
      <c r="G256" s="102" t="b">
        <v>0</v>
      </c>
      <c r="H256" s="102" t="b">
        <v>0</v>
      </c>
      <c r="I256" s="102" t="b">
        <v>0</v>
      </c>
      <c r="J256" s="102" t="b">
        <v>0</v>
      </c>
      <c r="K256" s="102" t="b">
        <v>0</v>
      </c>
      <c r="L256" s="102" t="b">
        <v>0</v>
      </c>
    </row>
    <row r="257" spans="1:12" ht="15">
      <c r="A257" s="97" t="s">
        <v>2996</v>
      </c>
      <c r="B257" s="102" t="s">
        <v>2997</v>
      </c>
      <c r="C257" s="102">
        <v>2</v>
      </c>
      <c r="D257" s="118">
        <v>0.0011074983101068089</v>
      </c>
      <c r="E257" s="118">
        <v>3.24809593109413</v>
      </c>
      <c r="F257" s="102" t="s">
        <v>3110</v>
      </c>
      <c r="G257" s="102" t="b">
        <v>0</v>
      </c>
      <c r="H257" s="102" t="b">
        <v>0</v>
      </c>
      <c r="I257" s="102" t="b">
        <v>0</v>
      </c>
      <c r="J257" s="102" t="b">
        <v>0</v>
      </c>
      <c r="K257" s="102" t="b">
        <v>0</v>
      </c>
      <c r="L257" s="102" t="b">
        <v>0</v>
      </c>
    </row>
    <row r="258" spans="1:12" ht="15">
      <c r="A258" s="97" t="s">
        <v>2997</v>
      </c>
      <c r="B258" s="102" t="s">
        <v>2835</v>
      </c>
      <c r="C258" s="102">
        <v>2</v>
      </c>
      <c r="D258" s="118">
        <v>0.0011074983101068089</v>
      </c>
      <c r="E258" s="118">
        <v>3.0720046720384486</v>
      </c>
      <c r="F258" s="102" t="s">
        <v>3110</v>
      </c>
      <c r="G258" s="102" t="b">
        <v>0</v>
      </c>
      <c r="H258" s="102" t="b">
        <v>0</v>
      </c>
      <c r="I258" s="102" t="b">
        <v>0</v>
      </c>
      <c r="J258" s="102" t="b">
        <v>0</v>
      </c>
      <c r="K258" s="102" t="b">
        <v>0</v>
      </c>
      <c r="L258" s="102" t="b">
        <v>0</v>
      </c>
    </row>
    <row r="259" spans="1:12" ht="15">
      <c r="A259" s="97" t="s">
        <v>2835</v>
      </c>
      <c r="B259" s="102" t="s">
        <v>2742</v>
      </c>
      <c r="C259" s="102">
        <v>2</v>
      </c>
      <c r="D259" s="118">
        <v>0.0011074983101068089</v>
      </c>
      <c r="E259" s="118">
        <v>2.7709746763744674</v>
      </c>
      <c r="F259" s="102" t="s">
        <v>3110</v>
      </c>
      <c r="G259" s="102" t="b">
        <v>0</v>
      </c>
      <c r="H259" s="102" t="b">
        <v>0</v>
      </c>
      <c r="I259" s="102" t="b">
        <v>0</v>
      </c>
      <c r="J259" s="102" t="b">
        <v>0</v>
      </c>
      <c r="K259" s="102" t="b">
        <v>0</v>
      </c>
      <c r="L259" s="102" t="b">
        <v>0</v>
      </c>
    </row>
    <row r="260" spans="1:12" ht="15">
      <c r="A260" s="97" t="s">
        <v>2742</v>
      </c>
      <c r="B260" s="102" t="s">
        <v>2998</v>
      </c>
      <c r="C260" s="102">
        <v>2</v>
      </c>
      <c r="D260" s="118">
        <v>0.0011074983101068089</v>
      </c>
      <c r="E260" s="118">
        <v>2.7709746763744674</v>
      </c>
      <c r="F260" s="102" t="s">
        <v>3110</v>
      </c>
      <c r="G260" s="102" t="b">
        <v>0</v>
      </c>
      <c r="H260" s="102" t="b">
        <v>0</v>
      </c>
      <c r="I260" s="102" t="b">
        <v>0</v>
      </c>
      <c r="J260" s="102" t="b">
        <v>0</v>
      </c>
      <c r="K260" s="102" t="b">
        <v>0</v>
      </c>
      <c r="L260" s="102" t="b">
        <v>0</v>
      </c>
    </row>
    <row r="261" spans="1:12" ht="15">
      <c r="A261" s="97" t="s">
        <v>2717</v>
      </c>
      <c r="B261" s="102" t="s">
        <v>712</v>
      </c>
      <c r="C261" s="102">
        <v>2</v>
      </c>
      <c r="D261" s="118">
        <v>0.0011074983101068089</v>
      </c>
      <c r="E261" s="118">
        <v>0.7731515956287419</v>
      </c>
      <c r="F261" s="102" t="s">
        <v>3110</v>
      </c>
      <c r="G261" s="102" t="b">
        <v>0</v>
      </c>
      <c r="H261" s="102" t="b">
        <v>0</v>
      </c>
      <c r="I261" s="102" t="b">
        <v>0</v>
      </c>
      <c r="J261" s="102" t="b">
        <v>0</v>
      </c>
      <c r="K261" s="102" t="b">
        <v>0</v>
      </c>
      <c r="L261" s="102" t="b">
        <v>0</v>
      </c>
    </row>
    <row r="262" spans="1:12" ht="15">
      <c r="A262" s="97" t="s">
        <v>3004</v>
      </c>
      <c r="B262" s="102" t="s">
        <v>2845</v>
      </c>
      <c r="C262" s="102">
        <v>2</v>
      </c>
      <c r="D262" s="118">
        <v>0.0011074983101068089</v>
      </c>
      <c r="E262" s="118">
        <v>3.0720046720384486</v>
      </c>
      <c r="F262" s="102" t="s">
        <v>3110</v>
      </c>
      <c r="G262" s="102" t="b">
        <v>0</v>
      </c>
      <c r="H262" s="102" t="b">
        <v>0</v>
      </c>
      <c r="I262" s="102" t="b">
        <v>0</v>
      </c>
      <c r="J262" s="102" t="b">
        <v>0</v>
      </c>
      <c r="K262" s="102" t="b">
        <v>0</v>
      </c>
      <c r="L262" s="102" t="b">
        <v>0</v>
      </c>
    </row>
    <row r="263" spans="1:12" ht="15">
      <c r="A263" s="97" t="s">
        <v>459</v>
      </c>
      <c r="B263" s="102" t="s">
        <v>372</v>
      </c>
      <c r="C263" s="102">
        <v>2</v>
      </c>
      <c r="D263" s="118">
        <v>0.0011074983101068089</v>
      </c>
      <c r="E263" s="118">
        <v>1.8331225831233118</v>
      </c>
      <c r="F263" s="102" t="s">
        <v>3110</v>
      </c>
      <c r="G263" s="102" t="b">
        <v>0</v>
      </c>
      <c r="H263" s="102" t="b">
        <v>0</v>
      </c>
      <c r="I263" s="102" t="b">
        <v>0</v>
      </c>
      <c r="J263" s="102" t="b">
        <v>0</v>
      </c>
      <c r="K263" s="102" t="b">
        <v>0</v>
      </c>
      <c r="L263" s="102" t="b">
        <v>0</v>
      </c>
    </row>
    <row r="264" spans="1:12" ht="15">
      <c r="A264" s="97" t="s">
        <v>459</v>
      </c>
      <c r="B264" s="102" t="s">
        <v>465</v>
      </c>
      <c r="C264" s="102">
        <v>2</v>
      </c>
      <c r="D264" s="118">
        <v>0.0011074983101068089</v>
      </c>
      <c r="E264" s="118">
        <v>2.134152578787293</v>
      </c>
      <c r="F264" s="102" t="s">
        <v>3110</v>
      </c>
      <c r="G264" s="102" t="b">
        <v>0</v>
      </c>
      <c r="H264" s="102" t="b">
        <v>0</v>
      </c>
      <c r="I264" s="102" t="b">
        <v>0</v>
      </c>
      <c r="J264" s="102" t="b">
        <v>0</v>
      </c>
      <c r="K264" s="102" t="b">
        <v>0</v>
      </c>
      <c r="L264" s="102" t="b">
        <v>0</v>
      </c>
    </row>
    <row r="265" spans="1:12" ht="15">
      <c r="A265" s="97" t="s">
        <v>465</v>
      </c>
      <c r="B265" s="102" t="s">
        <v>458</v>
      </c>
      <c r="C265" s="102">
        <v>2</v>
      </c>
      <c r="D265" s="118">
        <v>0.0011074983101068089</v>
      </c>
      <c r="E265" s="118">
        <v>2.134152578787293</v>
      </c>
      <c r="F265" s="102" t="s">
        <v>3110</v>
      </c>
      <c r="G265" s="102" t="b">
        <v>0</v>
      </c>
      <c r="H265" s="102" t="b">
        <v>0</v>
      </c>
      <c r="I265" s="102" t="b">
        <v>0</v>
      </c>
      <c r="J265" s="102" t="b">
        <v>0</v>
      </c>
      <c r="K265" s="102" t="b">
        <v>0</v>
      </c>
      <c r="L265" s="102" t="b">
        <v>0</v>
      </c>
    </row>
    <row r="266" spans="1:12" ht="15">
      <c r="A266" s="97" t="s">
        <v>385</v>
      </c>
      <c r="B266" s="102" t="s">
        <v>712</v>
      </c>
      <c r="C266" s="102">
        <v>2</v>
      </c>
      <c r="D266" s="118">
        <v>0.0011074983101068089</v>
      </c>
      <c r="E266" s="118">
        <v>0.7062048059981287</v>
      </c>
      <c r="F266" s="102" t="s">
        <v>3110</v>
      </c>
      <c r="G266" s="102" t="b">
        <v>0</v>
      </c>
      <c r="H266" s="102" t="b">
        <v>0</v>
      </c>
      <c r="I266" s="102" t="b">
        <v>0</v>
      </c>
      <c r="J266" s="102" t="b">
        <v>0</v>
      </c>
      <c r="K266" s="102" t="b">
        <v>0</v>
      </c>
      <c r="L266" s="102" t="b">
        <v>0</v>
      </c>
    </row>
    <row r="267" spans="1:12" ht="15">
      <c r="A267" s="97" t="s">
        <v>368</v>
      </c>
      <c r="B267" s="102" t="s">
        <v>324</v>
      </c>
      <c r="C267" s="102">
        <v>2</v>
      </c>
      <c r="D267" s="118">
        <v>0.0011074983101068089</v>
      </c>
      <c r="E267" s="118">
        <v>3.0720046720384486</v>
      </c>
      <c r="F267" s="102" t="s">
        <v>3110</v>
      </c>
      <c r="G267" s="102" t="b">
        <v>0</v>
      </c>
      <c r="H267" s="102" t="b">
        <v>0</v>
      </c>
      <c r="I267" s="102" t="b">
        <v>0</v>
      </c>
      <c r="J267" s="102" t="b">
        <v>0</v>
      </c>
      <c r="K267" s="102" t="b">
        <v>0</v>
      </c>
      <c r="L267" s="102" t="b">
        <v>0</v>
      </c>
    </row>
    <row r="268" spans="1:12" ht="15">
      <c r="A268" s="97" t="s">
        <v>324</v>
      </c>
      <c r="B268" s="102" t="s">
        <v>431</v>
      </c>
      <c r="C268" s="102">
        <v>2</v>
      </c>
      <c r="D268" s="118">
        <v>0.0011074983101068089</v>
      </c>
      <c r="E268" s="118">
        <v>2.2269066320241917</v>
      </c>
      <c r="F268" s="102" t="s">
        <v>3110</v>
      </c>
      <c r="G268" s="102" t="b">
        <v>0</v>
      </c>
      <c r="H268" s="102" t="b">
        <v>0</v>
      </c>
      <c r="I268" s="102" t="b">
        <v>0</v>
      </c>
      <c r="J268" s="102" t="b">
        <v>0</v>
      </c>
      <c r="K268" s="102" t="b">
        <v>0</v>
      </c>
      <c r="L268" s="102" t="b">
        <v>0</v>
      </c>
    </row>
    <row r="269" spans="1:12" ht="15">
      <c r="A269" s="97" t="s">
        <v>450</v>
      </c>
      <c r="B269" s="102" t="s">
        <v>2709</v>
      </c>
      <c r="C269" s="102">
        <v>2</v>
      </c>
      <c r="D269" s="118">
        <v>0.0011074983101068089</v>
      </c>
      <c r="E269" s="118">
        <v>1.9470659354301487</v>
      </c>
      <c r="F269" s="102" t="s">
        <v>3110</v>
      </c>
      <c r="G269" s="102" t="b">
        <v>0</v>
      </c>
      <c r="H269" s="102" t="b">
        <v>0</v>
      </c>
      <c r="I269" s="102" t="b">
        <v>0</v>
      </c>
      <c r="J269" s="102" t="b">
        <v>0</v>
      </c>
      <c r="K269" s="102" t="b">
        <v>0</v>
      </c>
      <c r="L269" s="102" t="b">
        <v>0</v>
      </c>
    </row>
    <row r="270" spans="1:12" ht="15">
      <c r="A270" s="97" t="s">
        <v>2709</v>
      </c>
      <c r="B270" s="102" t="s">
        <v>2873</v>
      </c>
      <c r="C270" s="102">
        <v>2</v>
      </c>
      <c r="D270" s="118">
        <v>0.0011074983101068089</v>
      </c>
      <c r="E270" s="118">
        <v>2.469944680710486</v>
      </c>
      <c r="F270" s="102" t="s">
        <v>3110</v>
      </c>
      <c r="G270" s="102" t="b">
        <v>0</v>
      </c>
      <c r="H270" s="102" t="b">
        <v>0</v>
      </c>
      <c r="I270" s="102" t="b">
        <v>0</v>
      </c>
      <c r="J270" s="102" t="b">
        <v>0</v>
      </c>
      <c r="K270" s="102" t="b">
        <v>0</v>
      </c>
      <c r="L270" s="102" t="b">
        <v>0</v>
      </c>
    </row>
    <row r="271" spans="1:12" ht="15">
      <c r="A271" s="97" t="s">
        <v>2873</v>
      </c>
      <c r="B271" s="102" t="s">
        <v>3009</v>
      </c>
      <c r="C271" s="102">
        <v>2</v>
      </c>
      <c r="D271" s="118">
        <v>0.0011074983101068089</v>
      </c>
      <c r="E271" s="118">
        <v>3.0720046720384486</v>
      </c>
      <c r="F271" s="102" t="s">
        <v>3110</v>
      </c>
      <c r="G271" s="102" t="b">
        <v>0</v>
      </c>
      <c r="H271" s="102" t="b">
        <v>0</v>
      </c>
      <c r="I271" s="102" t="b">
        <v>0</v>
      </c>
      <c r="J271" s="102" t="b">
        <v>0</v>
      </c>
      <c r="K271" s="102" t="b">
        <v>0</v>
      </c>
      <c r="L271" s="102" t="b">
        <v>0</v>
      </c>
    </row>
    <row r="272" spans="1:12" ht="15">
      <c r="A272" s="97" t="s">
        <v>3009</v>
      </c>
      <c r="B272" s="102" t="s">
        <v>3010</v>
      </c>
      <c r="C272" s="102">
        <v>2</v>
      </c>
      <c r="D272" s="118">
        <v>0.0011074983101068089</v>
      </c>
      <c r="E272" s="118">
        <v>3.24809593109413</v>
      </c>
      <c r="F272" s="102" t="s">
        <v>3110</v>
      </c>
      <c r="G272" s="102" t="b">
        <v>0</v>
      </c>
      <c r="H272" s="102" t="b">
        <v>0</v>
      </c>
      <c r="I272" s="102" t="b">
        <v>0</v>
      </c>
      <c r="J272" s="102" t="b">
        <v>0</v>
      </c>
      <c r="K272" s="102" t="b">
        <v>0</v>
      </c>
      <c r="L272" s="102" t="b">
        <v>0</v>
      </c>
    </row>
    <row r="273" spans="1:12" ht="15">
      <c r="A273" s="97" t="s">
        <v>3010</v>
      </c>
      <c r="B273" s="102" t="s">
        <v>3011</v>
      </c>
      <c r="C273" s="102">
        <v>2</v>
      </c>
      <c r="D273" s="118">
        <v>0.0011074983101068089</v>
      </c>
      <c r="E273" s="118">
        <v>3.24809593109413</v>
      </c>
      <c r="F273" s="102" t="s">
        <v>3110</v>
      </c>
      <c r="G273" s="102" t="b">
        <v>0</v>
      </c>
      <c r="H273" s="102" t="b">
        <v>0</v>
      </c>
      <c r="I273" s="102" t="b">
        <v>0</v>
      </c>
      <c r="J273" s="102" t="b">
        <v>0</v>
      </c>
      <c r="K273" s="102" t="b">
        <v>0</v>
      </c>
      <c r="L273" s="102" t="b">
        <v>0</v>
      </c>
    </row>
    <row r="274" spans="1:12" ht="15">
      <c r="A274" s="97" t="s">
        <v>3011</v>
      </c>
      <c r="B274" s="102" t="s">
        <v>3012</v>
      </c>
      <c r="C274" s="102">
        <v>2</v>
      </c>
      <c r="D274" s="118">
        <v>0.0011074983101068089</v>
      </c>
      <c r="E274" s="118">
        <v>3.24809593109413</v>
      </c>
      <c r="F274" s="102" t="s">
        <v>3110</v>
      </c>
      <c r="G274" s="102" t="b">
        <v>0</v>
      </c>
      <c r="H274" s="102" t="b">
        <v>0</v>
      </c>
      <c r="I274" s="102" t="b">
        <v>0</v>
      </c>
      <c r="J274" s="102" t="b">
        <v>0</v>
      </c>
      <c r="K274" s="102" t="b">
        <v>0</v>
      </c>
      <c r="L274" s="102" t="b">
        <v>0</v>
      </c>
    </row>
    <row r="275" spans="1:12" ht="15">
      <c r="A275" s="97" t="s">
        <v>3012</v>
      </c>
      <c r="B275" s="102" t="s">
        <v>2743</v>
      </c>
      <c r="C275" s="102">
        <v>2</v>
      </c>
      <c r="D275" s="118">
        <v>0.0011074983101068089</v>
      </c>
      <c r="E275" s="118">
        <v>2.7709746763744674</v>
      </c>
      <c r="F275" s="102" t="s">
        <v>3110</v>
      </c>
      <c r="G275" s="102" t="b">
        <v>0</v>
      </c>
      <c r="H275" s="102" t="b">
        <v>0</v>
      </c>
      <c r="I275" s="102" t="b">
        <v>0</v>
      </c>
      <c r="J275" s="102" t="b">
        <v>0</v>
      </c>
      <c r="K275" s="102" t="b">
        <v>0</v>
      </c>
      <c r="L275" s="102" t="b">
        <v>0</v>
      </c>
    </row>
    <row r="276" spans="1:12" ht="15">
      <c r="A276" s="97" t="s">
        <v>2743</v>
      </c>
      <c r="B276" s="102" t="s">
        <v>3013</v>
      </c>
      <c r="C276" s="102">
        <v>2</v>
      </c>
      <c r="D276" s="118">
        <v>0.0011074983101068089</v>
      </c>
      <c r="E276" s="118">
        <v>2.850155922422092</v>
      </c>
      <c r="F276" s="102" t="s">
        <v>3110</v>
      </c>
      <c r="G276" s="102" t="b">
        <v>0</v>
      </c>
      <c r="H276" s="102" t="b">
        <v>0</v>
      </c>
      <c r="I276" s="102" t="b">
        <v>0</v>
      </c>
      <c r="J276" s="102" t="b">
        <v>0</v>
      </c>
      <c r="K276" s="102" t="b">
        <v>0</v>
      </c>
      <c r="L276" s="102" t="b">
        <v>0</v>
      </c>
    </row>
    <row r="277" spans="1:12" ht="15">
      <c r="A277" s="97" t="s">
        <v>3013</v>
      </c>
      <c r="B277" s="102" t="s">
        <v>3014</v>
      </c>
      <c r="C277" s="102">
        <v>2</v>
      </c>
      <c r="D277" s="118">
        <v>0.0011074983101068089</v>
      </c>
      <c r="E277" s="118">
        <v>3.24809593109413</v>
      </c>
      <c r="F277" s="102" t="s">
        <v>3110</v>
      </c>
      <c r="G277" s="102" t="b">
        <v>0</v>
      </c>
      <c r="H277" s="102" t="b">
        <v>0</v>
      </c>
      <c r="I277" s="102" t="b">
        <v>0</v>
      </c>
      <c r="J277" s="102" t="b">
        <v>0</v>
      </c>
      <c r="K277" s="102" t="b">
        <v>0</v>
      </c>
      <c r="L277" s="102" t="b">
        <v>0</v>
      </c>
    </row>
    <row r="278" spans="1:12" ht="15">
      <c r="A278" s="97" t="s">
        <v>3014</v>
      </c>
      <c r="B278" s="102" t="s">
        <v>2709</v>
      </c>
      <c r="C278" s="102">
        <v>2</v>
      </c>
      <c r="D278" s="118">
        <v>0.0011074983101068089</v>
      </c>
      <c r="E278" s="118">
        <v>2.5491259267581112</v>
      </c>
      <c r="F278" s="102" t="s">
        <v>3110</v>
      </c>
      <c r="G278" s="102" t="b">
        <v>0</v>
      </c>
      <c r="H278" s="102" t="b">
        <v>0</v>
      </c>
      <c r="I278" s="102" t="b">
        <v>0</v>
      </c>
      <c r="J278" s="102" t="b">
        <v>0</v>
      </c>
      <c r="K278" s="102" t="b">
        <v>0</v>
      </c>
      <c r="L278" s="102" t="b">
        <v>0</v>
      </c>
    </row>
    <row r="279" spans="1:12" ht="15">
      <c r="A279" s="97" t="s">
        <v>2709</v>
      </c>
      <c r="B279" s="102" t="s">
        <v>2706</v>
      </c>
      <c r="C279" s="102">
        <v>2</v>
      </c>
      <c r="D279" s="118">
        <v>0.0011074983101068089</v>
      </c>
      <c r="E279" s="118">
        <v>1.8678846893825238</v>
      </c>
      <c r="F279" s="102" t="s">
        <v>3110</v>
      </c>
      <c r="G279" s="102" t="b">
        <v>0</v>
      </c>
      <c r="H279" s="102" t="b">
        <v>0</v>
      </c>
      <c r="I279" s="102" t="b">
        <v>0</v>
      </c>
      <c r="J279" s="102" t="b">
        <v>0</v>
      </c>
      <c r="K279" s="102" t="b">
        <v>0</v>
      </c>
      <c r="L279" s="102" t="b">
        <v>0</v>
      </c>
    </row>
    <row r="280" spans="1:12" ht="15">
      <c r="A280" s="97" t="s">
        <v>2706</v>
      </c>
      <c r="B280" s="102" t="s">
        <v>2743</v>
      </c>
      <c r="C280" s="102">
        <v>2</v>
      </c>
      <c r="D280" s="118">
        <v>0.0011074983101068089</v>
      </c>
      <c r="E280" s="118">
        <v>2.0720046720384486</v>
      </c>
      <c r="F280" s="102" t="s">
        <v>3110</v>
      </c>
      <c r="G280" s="102" t="b">
        <v>0</v>
      </c>
      <c r="H280" s="102" t="b">
        <v>0</v>
      </c>
      <c r="I280" s="102" t="b">
        <v>0</v>
      </c>
      <c r="J280" s="102" t="b">
        <v>0</v>
      </c>
      <c r="K280" s="102" t="b">
        <v>0</v>
      </c>
      <c r="L280" s="102" t="b">
        <v>0</v>
      </c>
    </row>
    <row r="281" spans="1:12" ht="15">
      <c r="A281" s="97" t="s">
        <v>2743</v>
      </c>
      <c r="B281" s="102" t="s">
        <v>3015</v>
      </c>
      <c r="C281" s="102">
        <v>2</v>
      </c>
      <c r="D281" s="118">
        <v>0.0011074983101068089</v>
      </c>
      <c r="E281" s="118">
        <v>2.850155922422092</v>
      </c>
      <c r="F281" s="102" t="s">
        <v>3110</v>
      </c>
      <c r="G281" s="102" t="b">
        <v>0</v>
      </c>
      <c r="H281" s="102" t="b">
        <v>0</v>
      </c>
      <c r="I281" s="102" t="b">
        <v>0</v>
      </c>
      <c r="J281" s="102" t="b">
        <v>0</v>
      </c>
      <c r="K281" s="102" t="b">
        <v>0</v>
      </c>
      <c r="L281" s="102" t="b">
        <v>0</v>
      </c>
    </row>
    <row r="282" spans="1:12" ht="15">
      <c r="A282" s="97" t="s">
        <v>3015</v>
      </c>
      <c r="B282" s="102" t="s">
        <v>712</v>
      </c>
      <c r="C282" s="102">
        <v>2</v>
      </c>
      <c r="D282" s="118">
        <v>0.0011074983101068089</v>
      </c>
      <c r="E282" s="118">
        <v>1.2502728503484044</v>
      </c>
      <c r="F282" s="102" t="s">
        <v>3110</v>
      </c>
      <c r="G282" s="102" t="b">
        <v>0</v>
      </c>
      <c r="H282" s="102" t="b">
        <v>0</v>
      </c>
      <c r="I282" s="102" t="b">
        <v>0</v>
      </c>
      <c r="J282" s="102" t="b">
        <v>0</v>
      </c>
      <c r="K282" s="102" t="b">
        <v>0</v>
      </c>
      <c r="L282" s="102" t="b">
        <v>0</v>
      </c>
    </row>
    <row r="283" spans="1:12" ht="15">
      <c r="A283" s="97" t="s">
        <v>712</v>
      </c>
      <c r="B283" s="102" t="s">
        <v>3016</v>
      </c>
      <c r="C283" s="102">
        <v>2</v>
      </c>
      <c r="D283" s="118">
        <v>0.0011074983101068089</v>
      </c>
      <c r="E283" s="118">
        <v>1.2658246980545613</v>
      </c>
      <c r="F283" s="102" t="s">
        <v>3110</v>
      </c>
      <c r="G283" s="102" t="b">
        <v>0</v>
      </c>
      <c r="H283" s="102" t="b">
        <v>0</v>
      </c>
      <c r="I283" s="102" t="b">
        <v>0</v>
      </c>
      <c r="J283" s="102" t="b">
        <v>0</v>
      </c>
      <c r="K283" s="102" t="b">
        <v>0</v>
      </c>
      <c r="L283" s="102" t="b">
        <v>0</v>
      </c>
    </row>
    <row r="284" spans="1:12" ht="15">
      <c r="A284" s="97" t="s">
        <v>3016</v>
      </c>
      <c r="B284" s="102" t="s">
        <v>2735</v>
      </c>
      <c r="C284" s="102">
        <v>2</v>
      </c>
      <c r="D284" s="118">
        <v>0.0011074983101068089</v>
      </c>
      <c r="E284" s="118">
        <v>2.7709746763744674</v>
      </c>
      <c r="F284" s="102" t="s">
        <v>3110</v>
      </c>
      <c r="G284" s="102" t="b">
        <v>0</v>
      </c>
      <c r="H284" s="102" t="b">
        <v>0</v>
      </c>
      <c r="I284" s="102" t="b">
        <v>0</v>
      </c>
      <c r="J284" s="102" t="b">
        <v>0</v>
      </c>
      <c r="K284" s="102" t="b">
        <v>1</v>
      </c>
      <c r="L284" s="102" t="b">
        <v>0</v>
      </c>
    </row>
    <row r="285" spans="1:12" ht="15">
      <c r="A285" s="97" t="s">
        <v>712</v>
      </c>
      <c r="B285" s="102" t="s">
        <v>3019</v>
      </c>
      <c r="C285" s="102">
        <v>2</v>
      </c>
      <c r="D285" s="118">
        <v>0.0011074983101068089</v>
      </c>
      <c r="E285" s="118">
        <v>1.2658246980545613</v>
      </c>
      <c r="F285" s="102" t="s">
        <v>3110</v>
      </c>
      <c r="G285" s="102" t="b">
        <v>0</v>
      </c>
      <c r="H285" s="102" t="b">
        <v>0</v>
      </c>
      <c r="I285" s="102" t="b">
        <v>0</v>
      </c>
      <c r="J285" s="102" t="b">
        <v>0</v>
      </c>
      <c r="K285" s="102" t="b">
        <v>0</v>
      </c>
      <c r="L285" s="102" t="b">
        <v>0</v>
      </c>
    </row>
    <row r="286" spans="1:12" ht="15">
      <c r="A286" s="97" t="s">
        <v>712</v>
      </c>
      <c r="B286" s="102" t="s">
        <v>3029</v>
      </c>
      <c r="C286" s="102">
        <v>2</v>
      </c>
      <c r="D286" s="118">
        <v>0.0011074983101068089</v>
      </c>
      <c r="E286" s="118">
        <v>1.2658246980545613</v>
      </c>
      <c r="F286" s="102" t="s">
        <v>3110</v>
      </c>
      <c r="G286" s="102" t="b">
        <v>0</v>
      </c>
      <c r="H286" s="102" t="b">
        <v>0</v>
      </c>
      <c r="I286" s="102" t="b">
        <v>0</v>
      </c>
      <c r="J286" s="102" t="b">
        <v>0</v>
      </c>
      <c r="K286" s="102" t="b">
        <v>0</v>
      </c>
      <c r="L286" s="102" t="b">
        <v>0</v>
      </c>
    </row>
    <row r="287" spans="1:12" ht="15">
      <c r="A287" s="97" t="s">
        <v>3029</v>
      </c>
      <c r="B287" s="102" t="s">
        <v>2661</v>
      </c>
      <c r="C287" s="102">
        <v>2</v>
      </c>
      <c r="D287" s="118">
        <v>0.0011074983101068089</v>
      </c>
      <c r="E287" s="118">
        <v>2.0306119868802237</v>
      </c>
      <c r="F287" s="102" t="s">
        <v>3110</v>
      </c>
      <c r="G287" s="102" t="b">
        <v>0</v>
      </c>
      <c r="H287" s="102" t="b">
        <v>0</v>
      </c>
      <c r="I287" s="102" t="b">
        <v>0</v>
      </c>
      <c r="J287" s="102" t="b">
        <v>0</v>
      </c>
      <c r="K287" s="102" t="b">
        <v>0</v>
      </c>
      <c r="L287" s="102" t="b">
        <v>0</v>
      </c>
    </row>
    <row r="288" spans="1:12" ht="15">
      <c r="A288" s="97" t="s">
        <v>460</v>
      </c>
      <c r="B288" s="102" t="s">
        <v>459</v>
      </c>
      <c r="C288" s="102">
        <v>2</v>
      </c>
      <c r="D288" s="118">
        <v>0.0011074983101068089</v>
      </c>
      <c r="E288" s="118">
        <v>2.507733241599886</v>
      </c>
      <c r="F288" s="102" t="s">
        <v>3110</v>
      </c>
      <c r="G288" s="102" t="b">
        <v>0</v>
      </c>
      <c r="H288" s="102" t="b">
        <v>0</v>
      </c>
      <c r="I288" s="102" t="b">
        <v>0</v>
      </c>
      <c r="J288" s="102" t="b">
        <v>0</v>
      </c>
      <c r="K288" s="102" t="b">
        <v>0</v>
      </c>
      <c r="L288" s="102" t="b">
        <v>0</v>
      </c>
    </row>
    <row r="289" spans="1:12" ht="15">
      <c r="A289" s="97" t="s">
        <v>3031</v>
      </c>
      <c r="B289" s="102" t="s">
        <v>3032</v>
      </c>
      <c r="C289" s="102">
        <v>2</v>
      </c>
      <c r="D289" s="118">
        <v>0.0011074983101068089</v>
      </c>
      <c r="E289" s="118">
        <v>3.24809593109413</v>
      </c>
      <c r="F289" s="102" t="s">
        <v>3110</v>
      </c>
      <c r="G289" s="102" t="b">
        <v>0</v>
      </c>
      <c r="H289" s="102" t="b">
        <v>0</v>
      </c>
      <c r="I289" s="102" t="b">
        <v>0</v>
      </c>
      <c r="J289" s="102" t="b">
        <v>0</v>
      </c>
      <c r="K289" s="102" t="b">
        <v>0</v>
      </c>
      <c r="L289" s="102" t="b">
        <v>0</v>
      </c>
    </row>
    <row r="290" spans="1:12" ht="15">
      <c r="A290" s="97" t="s">
        <v>451</v>
      </c>
      <c r="B290" s="102" t="s">
        <v>289</v>
      </c>
      <c r="C290" s="102">
        <v>2</v>
      </c>
      <c r="D290" s="118">
        <v>0.0011074983101068089</v>
      </c>
      <c r="E290" s="118">
        <v>3.24809593109413</v>
      </c>
      <c r="F290" s="102" t="s">
        <v>3110</v>
      </c>
      <c r="G290" s="102" t="b">
        <v>0</v>
      </c>
      <c r="H290" s="102" t="b">
        <v>0</v>
      </c>
      <c r="I290" s="102" t="b">
        <v>0</v>
      </c>
      <c r="J290" s="102" t="b">
        <v>0</v>
      </c>
      <c r="K290" s="102" t="b">
        <v>0</v>
      </c>
      <c r="L290" s="102" t="b">
        <v>0</v>
      </c>
    </row>
    <row r="291" spans="1:12" ht="15">
      <c r="A291" s="97" t="s">
        <v>289</v>
      </c>
      <c r="B291" s="102" t="s">
        <v>454</v>
      </c>
      <c r="C291" s="102">
        <v>2</v>
      </c>
      <c r="D291" s="118">
        <v>0.0011074983101068089</v>
      </c>
      <c r="E291" s="118">
        <v>3.24809593109413</v>
      </c>
      <c r="F291" s="102" t="s">
        <v>3110</v>
      </c>
      <c r="G291" s="102" t="b">
        <v>0</v>
      </c>
      <c r="H291" s="102" t="b">
        <v>0</v>
      </c>
      <c r="I291" s="102" t="b">
        <v>0</v>
      </c>
      <c r="J291" s="102" t="b">
        <v>0</v>
      </c>
      <c r="K291" s="102" t="b">
        <v>0</v>
      </c>
      <c r="L291" s="102" t="b">
        <v>0</v>
      </c>
    </row>
    <row r="292" spans="1:12" ht="15">
      <c r="A292" s="97" t="s">
        <v>454</v>
      </c>
      <c r="B292" s="102" t="s">
        <v>446</v>
      </c>
      <c r="C292" s="102">
        <v>2</v>
      </c>
      <c r="D292" s="118">
        <v>0.0011074983101068089</v>
      </c>
      <c r="E292" s="118">
        <v>3.0720046720384486</v>
      </c>
      <c r="F292" s="102" t="s">
        <v>3110</v>
      </c>
      <c r="G292" s="102" t="b">
        <v>0</v>
      </c>
      <c r="H292" s="102" t="b">
        <v>0</v>
      </c>
      <c r="I292" s="102" t="b">
        <v>0</v>
      </c>
      <c r="J292" s="102" t="b">
        <v>0</v>
      </c>
      <c r="K292" s="102" t="b">
        <v>0</v>
      </c>
      <c r="L292" s="102" t="b">
        <v>0</v>
      </c>
    </row>
    <row r="293" spans="1:12" ht="15">
      <c r="A293" s="97" t="s">
        <v>446</v>
      </c>
      <c r="B293" s="102" t="s">
        <v>445</v>
      </c>
      <c r="C293" s="102">
        <v>2</v>
      </c>
      <c r="D293" s="118">
        <v>0.0011074983101068089</v>
      </c>
      <c r="E293" s="118">
        <v>3.24809593109413</v>
      </c>
      <c r="F293" s="102" t="s">
        <v>3110</v>
      </c>
      <c r="G293" s="102" t="b">
        <v>0</v>
      </c>
      <c r="H293" s="102" t="b">
        <v>0</v>
      </c>
      <c r="I293" s="102" t="b">
        <v>0</v>
      </c>
      <c r="J293" s="102" t="b">
        <v>0</v>
      </c>
      <c r="K293" s="102" t="b">
        <v>0</v>
      </c>
      <c r="L293" s="102" t="b">
        <v>0</v>
      </c>
    </row>
    <row r="294" spans="1:12" ht="15">
      <c r="A294" s="97" t="s">
        <v>445</v>
      </c>
      <c r="B294" s="102" t="s">
        <v>444</v>
      </c>
      <c r="C294" s="102">
        <v>2</v>
      </c>
      <c r="D294" s="118">
        <v>0.0011074983101068089</v>
      </c>
      <c r="E294" s="118">
        <v>3.24809593109413</v>
      </c>
      <c r="F294" s="102" t="s">
        <v>3110</v>
      </c>
      <c r="G294" s="102" t="b">
        <v>0</v>
      </c>
      <c r="H294" s="102" t="b">
        <v>0</v>
      </c>
      <c r="I294" s="102" t="b">
        <v>0</v>
      </c>
      <c r="J294" s="102" t="b">
        <v>0</v>
      </c>
      <c r="K294" s="102" t="b">
        <v>0</v>
      </c>
      <c r="L294" s="102" t="b">
        <v>0</v>
      </c>
    </row>
    <row r="295" spans="1:12" ht="15">
      <c r="A295" s="97" t="s">
        <v>444</v>
      </c>
      <c r="B295" s="102" t="s">
        <v>457</v>
      </c>
      <c r="C295" s="102">
        <v>2</v>
      </c>
      <c r="D295" s="118">
        <v>0.0011074983101068089</v>
      </c>
      <c r="E295" s="118">
        <v>3.0720046720384486</v>
      </c>
      <c r="F295" s="102" t="s">
        <v>3110</v>
      </c>
      <c r="G295" s="102" t="b">
        <v>0</v>
      </c>
      <c r="H295" s="102" t="b">
        <v>0</v>
      </c>
      <c r="I295" s="102" t="b">
        <v>0</v>
      </c>
      <c r="J295" s="102" t="b">
        <v>0</v>
      </c>
      <c r="K295" s="102" t="b">
        <v>0</v>
      </c>
      <c r="L295" s="102" t="b">
        <v>0</v>
      </c>
    </row>
    <row r="296" spans="1:12" ht="15">
      <c r="A296" s="97" t="s">
        <v>457</v>
      </c>
      <c r="B296" s="102" t="s">
        <v>443</v>
      </c>
      <c r="C296" s="102">
        <v>2</v>
      </c>
      <c r="D296" s="118">
        <v>0.0011074983101068089</v>
      </c>
      <c r="E296" s="118">
        <v>3.0720046720384486</v>
      </c>
      <c r="F296" s="102" t="s">
        <v>3110</v>
      </c>
      <c r="G296" s="102" t="b">
        <v>0</v>
      </c>
      <c r="H296" s="102" t="b">
        <v>0</v>
      </c>
      <c r="I296" s="102" t="b">
        <v>0</v>
      </c>
      <c r="J296" s="102" t="b">
        <v>0</v>
      </c>
      <c r="K296" s="102" t="b">
        <v>0</v>
      </c>
      <c r="L296" s="102" t="b">
        <v>0</v>
      </c>
    </row>
    <row r="297" spans="1:12" ht="15">
      <c r="A297" s="97" t="s">
        <v>443</v>
      </c>
      <c r="B297" s="102" t="s">
        <v>442</v>
      </c>
      <c r="C297" s="102">
        <v>2</v>
      </c>
      <c r="D297" s="118">
        <v>0.0011074983101068089</v>
      </c>
      <c r="E297" s="118">
        <v>3.24809593109413</v>
      </c>
      <c r="F297" s="102" t="s">
        <v>3110</v>
      </c>
      <c r="G297" s="102" t="b">
        <v>0</v>
      </c>
      <c r="H297" s="102" t="b">
        <v>0</v>
      </c>
      <c r="I297" s="102" t="b">
        <v>0</v>
      </c>
      <c r="J297" s="102" t="b">
        <v>0</v>
      </c>
      <c r="K297" s="102" t="b">
        <v>0</v>
      </c>
      <c r="L297" s="102" t="b">
        <v>0</v>
      </c>
    </row>
    <row r="298" spans="1:12" ht="15">
      <c r="A298" s="97" t="s">
        <v>442</v>
      </c>
      <c r="B298" s="102" t="s">
        <v>441</v>
      </c>
      <c r="C298" s="102">
        <v>2</v>
      </c>
      <c r="D298" s="118">
        <v>0.0011074983101068089</v>
      </c>
      <c r="E298" s="118">
        <v>3.24809593109413</v>
      </c>
      <c r="F298" s="102" t="s">
        <v>3110</v>
      </c>
      <c r="G298" s="102" t="b">
        <v>0</v>
      </c>
      <c r="H298" s="102" t="b">
        <v>0</v>
      </c>
      <c r="I298" s="102" t="b">
        <v>0</v>
      </c>
      <c r="J298" s="102" t="b">
        <v>0</v>
      </c>
      <c r="K298" s="102" t="b">
        <v>0</v>
      </c>
      <c r="L298" s="102" t="b">
        <v>0</v>
      </c>
    </row>
    <row r="299" spans="1:12" ht="15">
      <c r="A299" s="97" t="s">
        <v>441</v>
      </c>
      <c r="B299" s="102" t="s">
        <v>440</v>
      </c>
      <c r="C299" s="102">
        <v>2</v>
      </c>
      <c r="D299" s="118">
        <v>0.0011074983101068089</v>
      </c>
      <c r="E299" s="118">
        <v>3.24809593109413</v>
      </c>
      <c r="F299" s="102" t="s">
        <v>3110</v>
      </c>
      <c r="G299" s="102" t="b">
        <v>0</v>
      </c>
      <c r="H299" s="102" t="b">
        <v>0</v>
      </c>
      <c r="I299" s="102" t="b">
        <v>0</v>
      </c>
      <c r="J299" s="102" t="b">
        <v>0</v>
      </c>
      <c r="K299" s="102" t="b">
        <v>0</v>
      </c>
      <c r="L299" s="102" t="b">
        <v>0</v>
      </c>
    </row>
    <row r="300" spans="1:12" ht="15">
      <c r="A300" s="97" t="s">
        <v>440</v>
      </c>
      <c r="B300" s="102" t="s">
        <v>439</v>
      </c>
      <c r="C300" s="102">
        <v>2</v>
      </c>
      <c r="D300" s="118">
        <v>0.0011074983101068089</v>
      </c>
      <c r="E300" s="118">
        <v>3.24809593109413</v>
      </c>
      <c r="F300" s="102" t="s">
        <v>3110</v>
      </c>
      <c r="G300" s="102" t="b">
        <v>0</v>
      </c>
      <c r="H300" s="102" t="b">
        <v>0</v>
      </c>
      <c r="I300" s="102" t="b">
        <v>0</v>
      </c>
      <c r="J300" s="102" t="b">
        <v>0</v>
      </c>
      <c r="K300" s="102" t="b">
        <v>0</v>
      </c>
      <c r="L300" s="102" t="b">
        <v>0</v>
      </c>
    </row>
    <row r="301" spans="1:12" ht="15">
      <c r="A301" s="97" t="s">
        <v>439</v>
      </c>
      <c r="B301" s="102" t="s">
        <v>438</v>
      </c>
      <c r="C301" s="102">
        <v>2</v>
      </c>
      <c r="D301" s="118">
        <v>0.0011074983101068089</v>
      </c>
      <c r="E301" s="118">
        <v>3.24809593109413</v>
      </c>
      <c r="F301" s="102" t="s">
        <v>3110</v>
      </c>
      <c r="G301" s="102" t="b">
        <v>0</v>
      </c>
      <c r="H301" s="102" t="b">
        <v>0</v>
      </c>
      <c r="I301" s="102" t="b">
        <v>0</v>
      </c>
      <c r="J301" s="102" t="b">
        <v>0</v>
      </c>
      <c r="K301" s="102" t="b">
        <v>0</v>
      </c>
      <c r="L301" s="102" t="b">
        <v>0</v>
      </c>
    </row>
    <row r="302" spans="1:12" ht="15">
      <c r="A302" s="97" t="s">
        <v>438</v>
      </c>
      <c r="B302" s="102" t="s">
        <v>2760</v>
      </c>
      <c r="C302" s="102">
        <v>2</v>
      </c>
      <c r="D302" s="118">
        <v>0.0011074983101068089</v>
      </c>
      <c r="E302" s="118">
        <v>2.850155922422092</v>
      </c>
      <c r="F302" s="102" t="s">
        <v>3110</v>
      </c>
      <c r="G302" s="102" t="b">
        <v>0</v>
      </c>
      <c r="H302" s="102" t="b">
        <v>0</v>
      </c>
      <c r="I302" s="102" t="b">
        <v>0</v>
      </c>
      <c r="J302" s="102" t="b">
        <v>0</v>
      </c>
      <c r="K302" s="102" t="b">
        <v>0</v>
      </c>
      <c r="L302" s="102" t="b">
        <v>0</v>
      </c>
    </row>
    <row r="303" spans="1:12" ht="15">
      <c r="A303" s="97" t="s">
        <v>712</v>
      </c>
      <c r="B303" s="102" t="s">
        <v>2718</v>
      </c>
      <c r="C303" s="102">
        <v>2</v>
      </c>
      <c r="D303" s="118">
        <v>0.0011074983101068089</v>
      </c>
      <c r="E303" s="118">
        <v>0.7217566537042859</v>
      </c>
      <c r="F303" s="102" t="s">
        <v>3110</v>
      </c>
      <c r="G303" s="102" t="b">
        <v>0</v>
      </c>
      <c r="H303" s="102" t="b">
        <v>0</v>
      </c>
      <c r="I303" s="102" t="b">
        <v>0</v>
      </c>
      <c r="J303" s="102" t="b">
        <v>0</v>
      </c>
      <c r="K303" s="102" t="b">
        <v>0</v>
      </c>
      <c r="L303" s="102" t="b">
        <v>0</v>
      </c>
    </row>
    <row r="304" spans="1:12" ht="15">
      <c r="A304" s="97" t="s">
        <v>712</v>
      </c>
      <c r="B304" s="102" t="s">
        <v>2704</v>
      </c>
      <c r="C304" s="102">
        <v>2</v>
      </c>
      <c r="D304" s="118">
        <v>0.0011074983101068089</v>
      </c>
      <c r="E304" s="118">
        <v>0.45291134141170586</v>
      </c>
      <c r="F304" s="102" t="s">
        <v>3110</v>
      </c>
      <c r="G304" s="102" t="b">
        <v>0</v>
      </c>
      <c r="H304" s="102" t="b">
        <v>0</v>
      </c>
      <c r="I304" s="102" t="b">
        <v>0</v>
      </c>
      <c r="J304" s="102" t="b">
        <v>0</v>
      </c>
      <c r="K304" s="102" t="b">
        <v>0</v>
      </c>
      <c r="L304" s="102" t="b">
        <v>0</v>
      </c>
    </row>
    <row r="305" spans="1:12" ht="15">
      <c r="A305" s="97" t="s">
        <v>2711</v>
      </c>
      <c r="B305" s="102" t="s">
        <v>2900</v>
      </c>
      <c r="C305" s="102">
        <v>2</v>
      </c>
      <c r="D305" s="118">
        <v>0.0011074983101068089</v>
      </c>
      <c r="E305" s="118">
        <v>2.4187921582631047</v>
      </c>
      <c r="F305" s="102" t="s">
        <v>3110</v>
      </c>
      <c r="G305" s="102" t="b">
        <v>0</v>
      </c>
      <c r="H305" s="102" t="b">
        <v>0</v>
      </c>
      <c r="I305" s="102" t="b">
        <v>0</v>
      </c>
      <c r="J305" s="102" t="b">
        <v>0</v>
      </c>
      <c r="K305" s="102" t="b">
        <v>0</v>
      </c>
      <c r="L305" s="102" t="b">
        <v>0</v>
      </c>
    </row>
    <row r="306" spans="1:12" ht="15">
      <c r="A306" s="97" t="s">
        <v>434</v>
      </c>
      <c r="B306" s="102" t="s">
        <v>3036</v>
      </c>
      <c r="C306" s="102">
        <v>2</v>
      </c>
      <c r="D306" s="118">
        <v>0.0011074983101068089</v>
      </c>
      <c r="E306" s="118">
        <v>2.850155922422092</v>
      </c>
      <c r="F306" s="102" t="s">
        <v>3110</v>
      </c>
      <c r="G306" s="102" t="b">
        <v>0</v>
      </c>
      <c r="H306" s="102" t="b">
        <v>0</v>
      </c>
      <c r="I306" s="102" t="b">
        <v>0</v>
      </c>
      <c r="J306" s="102" t="b">
        <v>0</v>
      </c>
      <c r="K306" s="102" t="b">
        <v>0</v>
      </c>
      <c r="L306" s="102" t="b">
        <v>0</v>
      </c>
    </row>
    <row r="307" spans="1:12" ht="15">
      <c r="A307" s="97" t="s">
        <v>3036</v>
      </c>
      <c r="B307" s="102" t="s">
        <v>2785</v>
      </c>
      <c r="C307" s="102">
        <v>2</v>
      </c>
      <c r="D307" s="118">
        <v>0.0011074983101068089</v>
      </c>
      <c r="E307" s="118">
        <v>2.9470659354301487</v>
      </c>
      <c r="F307" s="102" t="s">
        <v>3110</v>
      </c>
      <c r="G307" s="102" t="b">
        <v>0</v>
      </c>
      <c r="H307" s="102" t="b">
        <v>0</v>
      </c>
      <c r="I307" s="102" t="b">
        <v>0</v>
      </c>
      <c r="J307" s="102" t="b">
        <v>0</v>
      </c>
      <c r="K307" s="102" t="b">
        <v>0</v>
      </c>
      <c r="L307" s="102" t="b">
        <v>0</v>
      </c>
    </row>
    <row r="308" spans="1:12" ht="15">
      <c r="A308" s="97" t="s">
        <v>2785</v>
      </c>
      <c r="B308" s="102" t="s">
        <v>2778</v>
      </c>
      <c r="C308" s="102">
        <v>2</v>
      </c>
      <c r="D308" s="118">
        <v>0.0011074983101068089</v>
      </c>
      <c r="E308" s="118">
        <v>2.7709746763744674</v>
      </c>
      <c r="F308" s="102" t="s">
        <v>3110</v>
      </c>
      <c r="G308" s="102" t="b">
        <v>0</v>
      </c>
      <c r="H308" s="102" t="b">
        <v>0</v>
      </c>
      <c r="I308" s="102" t="b">
        <v>0</v>
      </c>
      <c r="J308" s="102" t="b">
        <v>0</v>
      </c>
      <c r="K308" s="102" t="b">
        <v>0</v>
      </c>
      <c r="L308" s="102" t="b">
        <v>0</v>
      </c>
    </row>
    <row r="309" spans="1:12" ht="15">
      <c r="A309" s="97" t="s">
        <v>2778</v>
      </c>
      <c r="B309" s="102" t="s">
        <v>3037</v>
      </c>
      <c r="C309" s="102">
        <v>2</v>
      </c>
      <c r="D309" s="118">
        <v>0.0011074983101068089</v>
      </c>
      <c r="E309" s="118">
        <v>2.9470659354301487</v>
      </c>
      <c r="F309" s="102" t="s">
        <v>3110</v>
      </c>
      <c r="G309" s="102" t="b">
        <v>0</v>
      </c>
      <c r="H309" s="102" t="b">
        <v>0</v>
      </c>
      <c r="I309" s="102" t="b">
        <v>0</v>
      </c>
      <c r="J309" s="102" t="b">
        <v>0</v>
      </c>
      <c r="K309" s="102" t="b">
        <v>0</v>
      </c>
      <c r="L309" s="102" t="b">
        <v>0</v>
      </c>
    </row>
    <row r="310" spans="1:12" ht="15">
      <c r="A310" s="97" t="s">
        <v>3037</v>
      </c>
      <c r="B310" s="102" t="s">
        <v>3038</v>
      </c>
      <c r="C310" s="102">
        <v>2</v>
      </c>
      <c r="D310" s="118">
        <v>0.0011074983101068089</v>
      </c>
      <c r="E310" s="118">
        <v>3.24809593109413</v>
      </c>
      <c r="F310" s="102" t="s">
        <v>3110</v>
      </c>
      <c r="G310" s="102" t="b">
        <v>0</v>
      </c>
      <c r="H310" s="102" t="b">
        <v>0</v>
      </c>
      <c r="I310" s="102" t="b">
        <v>0</v>
      </c>
      <c r="J310" s="102" t="b">
        <v>0</v>
      </c>
      <c r="K310" s="102" t="b">
        <v>0</v>
      </c>
      <c r="L310" s="102" t="b">
        <v>0</v>
      </c>
    </row>
    <row r="311" spans="1:12" ht="15">
      <c r="A311" s="97" t="s">
        <v>3038</v>
      </c>
      <c r="B311" s="102" t="s">
        <v>3039</v>
      </c>
      <c r="C311" s="102">
        <v>2</v>
      </c>
      <c r="D311" s="118">
        <v>0.0011074983101068089</v>
      </c>
      <c r="E311" s="118">
        <v>3.24809593109413</v>
      </c>
      <c r="F311" s="102" t="s">
        <v>3110</v>
      </c>
      <c r="G311" s="102" t="b">
        <v>0</v>
      </c>
      <c r="H311" s="102" t="b">
        <v>0</v>
      </c>
      <c r="I311" s="102" t="b">
        <v>0</v>
      </c>
      <c r="J311" s="102" t="b">
        <v>0</v>
      </c>
      <c r="K311" s="102" t="b">
        <v>0</v>
      </c>
      <c r="L311" s="102" t="b">
        <v>0</v>
      </c>
    </row>
    <row r="312" spans="1:12" ht="15">
      <c r="A312" s="97" t="s">
        <v>3039</v>
      </c>
      <c r="B312" s="102" t="s">
        <v>3040</v>
      </c>
      <c r="C312" s="102">
        <v>2</v>
      </c>
      <c r="D312" s="118">
        <v>0.0011074983101068089</v>
      </c>
      <c r="E312" s="118">
        <v>3.24809593109413</v>
      </c>
      <c r="F312" s="102" t="s">
        <v>3110</v>
      </c>
      <c r="G312" s="102" t="b">
        <v>0</v>
      </c>
      <c r="H312" s="102" t="b">
        <v>0</v>
      </c>
      <c r="I312" s="102" t="b">
        <v>0</v>
      </c>
      <c r="J312" s="102" t="b">
        <v>0</v>
      </c>
      <c r="K312" s="102" t="b">
        <v>0</v>
      </c>
      <c r="L312" s="102" t="b">
        <v>0</v>
      </c>
    </row>
    <row r="313" spans="1:12" ht="15">
      <c r="A313" s="97" t="s">
        <v>3040</v>
      </c>
      <c r="B313" s="102" t="s">
        <v>3041</v>
      </c>
      <c r="C313" s="102">
        <v>2</v>
      </c>
      <c r="D313" s="118">
        <v>0.0011074983101068089</v>
      </c>
      <c r="E313" s="118">
        <v>3.24809593109413</v>
      </c>
      <c r="F313" s="102" t="s">
        <v>3110</v>
      </c>
      <c r="G313" s="102" t="b">
        <v>0</v>
      </c>
      <c r="H313" s="102" t="b">
        <v>0</v>
      </c>
      <c r="I313" s="102" t="b">
        <v>0</v>
      </c>
      <c r="J313" s="102" t="b">
        <v>0</v>
      </c>
      <c r="K313" s="102" t="b">
        <v>0</v>
      </c>
      <c r="L313" s="102" t="b">
        <v>0</v>
      </c>
    </row>
    <row r="314" spans="1:12" ht="15">
      <c r="A314" s="97" t="s">
        <v>3041</v>
      </c>
      <c r="B314" s="102" t="s">
        <v>712</v>
      </c>
      <c r="C314" s="102">
        <v>2</v>
      </c>
      <c r="D314" s="118">
        <v>0.0011074983101068089</v>
      </c>
      <c r="E314" s="118">
        <v>1.2502728503484044</v>
      </c>
      <c r="F314" s="102" t="s">
        <v>3110</v>
      </c>
      <c r="G314" s="102" t="b">
        <v>0</v>
      </c>
      <c r="H314" s="102" t="b">
        <v>0</v>
      </c>
      <c r="I314" s="102" t="b">
        <v>0</v>
      </c>
      <c r="J314" s="102" t="b">
        <v>0</v>
      </c>
      <c r="K314" s="102" t="b">
        <v>0</v>
      </c>
      <c r="L314" s="102" t="b">
        <v>0</v>
      </c>
    </row>
    <row r="315" spans="1:12" ht="15">
      <c r="A315" s="97" t="s">
        <v>2746</v>
      </c>
      <c r="B315" s="102" t="s">
        <v>2897</v>
      </c>
      <c r="C315" s="102">
        <v>2</v>
      </c>
      <c r="D315" s="118">
        <v>0.0011074983101068089</v>
      </c>
      <c r="E315" s="118">
        <v>2.674064663366411</v>
      </c>
      <c r="F315" s="102" t="s">
        <v>3110</v>
      </c>
      <c r="G315" s="102" t="b">
        <v>0</v>
      </c>
      <c r="H315" s="102" t="b">
        <v>0</v>
      </c>
      <c r="I315" s="102" t="b">
        <v>0</v>
      </c>
      <c r="J315" s="102" t="b">
        <v>0</v>
      </c>
      <c r="K315" s="102" t="b">
        <v>0</v>
      </c>
      <c r="L315" s="102" t="b">
        <v>0</v>
      </c>
    </row>
    <row r="316" spans="1:12" ht="15">
      <c r="A316" s="97" t="s">
        <v>2681</v>
      </c>
      <c r="B316" s="102" t="s">
        <v>2901</v>
      </c>
      <c r="C316" s="102">
        <v>2</v>
      </c>
      <c r="D316" s="118">
        <v>0.0011074983101068089</v>
      </c>
      <c r="E316" s="118">
        <v>2.1969434086467485</v>
      </c>
      <c r="F316" s="102" t="s">
        <v>3110</v>
      </c>
      <c r="G316" s="102" t="b">
        <v>0</v>
      </c>
      <c r="H316" s="102" t="b">
        <v>0</v>
      </c>
      <c r="I316" s="102" t="b">
        <v>0</v>
      </c>
      <c r="J316" s="102" t="b">
        <v>0</v>
      </c>
      <c r="K316" s="102" t="b">
        <v>0</v>
      </c>
      <c r="L316" s="102" t="b">
        <v>0</v>
      </c>
    </row>
    <row r="317" spans="1:12" ht="15">
      <c r="A317" s="97" t="s">
        <v>2901</v>
      </c>
      <c r="B317" s="102" t="s">
        <v>3042</v>
      </c>
      <c r="C317" s="102">
        <v>2</v>
      </c>
      <c r="D317" s="118">
        <v>0.0011074983101068089</v>
      </c>
      <c r="E317" s="118">
        <v>3.0720046720384486</v>
      </c>
      <c r="F317" s="102" t="s">
        <v>3110</v>
      </c>
      <c r="G317" s="102" t="b">
        <v>0</v>
      </c>
      <c r="H317" s="102" t="b">
        <v>0</v>
      </c>
      <c r="I317" s="102" t="b">
        <v>0</v>
      </c>
      <c r="J317" s="102" t="b">
        <v>0</v>
      </c>
      <c r="K317" s="102" t="b">
        <v>0</v>
      </c>
      <c r="L317" s="102" t="b">
        <v>0</v>
      </c>
    </row>
    <row r="318" spans="1:12" ht="15">
      <c r="A318" s="97" t="s">
        <v>3042</v>
      </c>
      <c r="B318" s="102" t="s">
        <v>2718</v>
      </c>
      <c r="C318" s="102">
        <v>2</v>
      </c>
      <c r="D318" s="118">
        <v>0.0011074983101068089</v>
      </c>
      <c r="E318" s="118">
        <v>2.7040278867438543</v>
      </c>
      <c r="F318" s="102" t="s">
        <v>3110</v>
      </c>
      <c r="G318" s="102" t="b">
        <v>0</v>
      </c>
      <c r="H318" s="102" t="b">
        <v>0</v>
      </c>
      <c r="I318" s="102" t="b">
        <v>0</v>
      </c>
      <c r="J318" s="102" t="b">
        <v>0</v>
      </c>
      <c r="K318" s="102" t="b">
        <v>0</v>
      </c>
      <c r="L318" s="102" t="b">
        <v>0</v>
      </c>
    </row>
    <row r="319" spans="1:12" ht="15">
      <c r="A319" s="97" t="s">
        <v>3043</v>
      </c>
      <c r="B319" s="102" t="s">
        <v>2666</v>
      </c>
      <c r="C319" s="102">
        <v>2</v>
      </c>
      <c r="D319" s="118">
        <v>0.0011074983101068089</v>
      </c>
      <c r="E319" s="118">
        <v>2.168914685046505</v>
      </c>
      <c r="F319" s="102" t="s">
        <v>3110</v>
      </c>
      <c r="G319" s="102" t="b">
        <v>0</v>
      </c>
      <c r="H319" s="102" t="b">
        <v>0</v>
      </c>
      <c r="I319" s="102" t="b">
        <v>0</v>
      </c>
      <c r="J319" s="102" t="b">
        <v>0</v>
      </c>
      <c r="K319" s="102" t="b">
        <v>0</v>
      </c>
      <c r="L319" s="102" t="b">
        <v>0</v>
      </c>
    </row>
    <row r="320" spans="1:12" ht="15">
      <c r="A320" s="97" t="s">
        <v>712</v>
      </c>
      <c r="B320" s="102" t="s">
        <v>3044</v>
      </c>
      <c r="C320" s="102">
        <v>2</v>
      </c>
      <c r="D320" s="118">
        <v>0.0011074983101068089</v>
      </c>
      <c r="E320" s="118">
        <v>1.2658246980545613</v>
      </c>
      <c r="F320" s="102" t="s">
        <v>3110</v>
      </c>
      <c r="G320" s="102" t="b">
        <v>0</v>
      </c>
      <c r="H320" s="102" t="b">
        <v>0</v>
      </c>
      <c r="I320" s="102" t="b">
        <v>0</v>
      </c>
      <c r="J320" s="102" t="b">
        <v>0</v>
      </c>
      <c r="K320" s="102" t="b">
        <v>0</v>
      </c>
      <c r="L320" s="102" t="b">
        <v>0</v>
      </c>
    </row>
    <row r="321" spans="1:12" ht="15">
      <c r="A321" s="97" t="s">
        <v>3044</v>
      </c>
      <c r="B321" s="102" t="s">
        <v>2668</v>
      </c>
      <c r="C321" s="102">
        <v>2</v>
      </c>
      <c r="D321" s="118">
        <v>0.0011074983101068089</v>
      </c>
      <c r="E321" s="118">
        <v>2.168914685046505</v>
      </c>
      <c r="F321" s="102" t="s">
        <v>3110</v>
      </c>
      <c r="G321" s="102" t="b">
        <v>0</v>
      </c>
      <c r="H321" s="102" t="b">
        <v>0</v>
      </c>
      <c r="I321" s="102" t="b">
        <v>0</v>
      </c>
      <c r="J321" s="102" t="b">
        <v>0</v>
      </c>
      <c r="K321" s="102" t="b">
        <v>0</v>
      </c>
      <c r="L321" s="102" t="b">
        <v>0</v>
      </c>
    </row>
    <row r="322" spans="1:12" ht="15">
      <c r="A322" s="97" t="s">
        <v>2668</v>
      </c>
      <c r="B322" s="102" t="s">
        <v>2875</v>
      </c>
      <c r="C322" s="102">
        <v>2</v>
      </c>
      <c r="D322" s="118">
        <v>0.0011074983101068089</v>
      </c>
      <c r="E322" s="118">
        <v>1.9928234259908237</v>
      </c>
      <c r="F322" s="102" t="s">
        <v>3110</v>
      </c>
      <c r="G322" s="102" t="b">
        <v>0</v>
      </c>
      <c r="H322" s="102" t="b">
        <v>0</v>
      </c>
      <c r="I322" s="102" t="b">
        <v>0</v>
      </c>
      <c r="J322" s="102" t="b">
        <v>0</v>
      </c>
      <c r="K322" s="102" t="b">
        <v>0</v>
      </c>
      <c r="L322" s="102" t="b">
        <v>0</v>
      </c>
    </row>
    <row r="323" spans="1:12" ht="15">
      <c r="A323" s="97" t="s">
        <v>421</v>
      </c>
      <c r="B323" s="102" t="s">
        <v>422</v>
      </c>
      <c r="C323" s="102">
        <v>2</v>
      </c>
      <c r="D323" s="118">
        <v>0.0011074983101068089</v>
      </c>
      <c r="E323" s="118">
        <v>3.0720046720384486</v>
      </c>
      <c r="F323" s="102" t="s">
        <v>3110</v>
      </c>
      <c r="G323" s="102" t="b">
        <v>0</v>
      </c>
      <c r="H323" s="102" t="b">
        <v>0</v>
      </c>
      <c r="I323" s="102" t="b">
        <v>0</v>
      </c>
      <c r="J323" s="102" t="b">
        <v>0</v>
      </c>
      <c r="K323" s="102" t="b">
        <v>0</v>
      </c>
      <c r="L323" s="102" t="b">
        <v>0</v>
      </c>
    </row>
    <row r="324" spans="1:12" ht="15">
      <c r="A324" s="97" t="s">
        <v>420</v>
      </c>
      <c r="B324" s="102" t="s">
        <v>712</v>
      </c>
      <c r="C324" s="102">
        <v>2</v>
      </c>
      <c r="D324" s="118">
        <v>0.0011074983101068089</v>
      </c>
      <c r="E324" s="118">
        <v>0.9492428546844233</v>
      </c>
      <c r="F324" s="102" t="s">
        <v>3110</v>
      </c>
      <c r="G324" s="102" t="b">
        <v>0</v>
      </c>
      <c r="H324" s="102" t="b">
        <v>0</v>
      </c>
      <c r="I324" s="102" t="b">
        <v>0</v>
      </c>
      <c r="J324" s="102" t="b">
        <v>0</v>
      </c>
      <c r="K324" s="102" t="b">
        <v>0</v>
      </c>
      <c r="L324" s="102" t="b">
        <v>0</v>
      </c>
    </row>
    <row r="325" spans="1:12" ht="15">
      <c r="A325" s="97" t="s">
        <v>2685</v>
      </c>
      <c r="B325" s="102" t="s">
        <v>2807</v>
      </c>
      <c r="C325" s="102">
        <v>2</v>
      </c>
      <c r="D325" s="118">
        <v>0.0011074983101068089</v>
      </c>
      <c r="E325" s="118">
        <v>2.134152578787293</v>
      </c>
      <c r="F325" s="102" t="s">
        <v>3110</v>
      </c>
      <c r="G325" s="102" t="b">
        <v>0</v>
      </c>
      <c r="H325" s="102" t="b">
        <v>0</v>
      </c>
      <c r="I325" s="102" t="b">
        <v>0</v>
      </c>
      <c r="J325" s="102" t="b">
        <v>0</v>
      </c>
      <c r="K325" s="102" t="b">
        <v>0</v>
      </c>
      <c r="L325" s="102" t="b">
        <v>0</v>
      </c>
    </row>
    <row r="326" spans="1:12" ht="15">
      <c r="A326" s="97" t="s">
        <v>712</v>
      </c>
      <c r="B326" s="102" t="s">
        <v>2834</v>
      </c>
      <c r="C326" s="102">
        <v>2</v>
      </c>
      <c r="D326" s="118">
        <v>0.0011074983101068089</v>
      </c>
      <c r="E326" s="118">
        <v>1.0897334389988802</v>
      </c>
      <c r="F326" s="102" t="s">
        <v>3110</v>
      </c>
      <c r="G326" s="102" t="b">
        <v>0</v>
      </c>
      <c r="H326" s="102" t="b">
        <v>0</v>
      </c>
      <c r="I326" s="102" t="b">
        <v>0</v>
      </c>
      <c r="J326" s="102" t="b">
        <v>0</v>
      </c>
      <c r="K326" s="102" t="b">
        <v>0</v>
      </c>
      <c r="L326" s="102" t="b">
        <v>0</v>
      </c>
    </row>
    <row r="327" spans="1:12" ht="15">
      <c r="A327" s="97" t="s">
        <v>2737</v>
      </c>
      <c r="B327" s="102" t="s">
        <v>2903</v>
      </c>
      <c r="C327" s="102">
        <v>2</v>
      </c>
      <c r="D327" s="118">
        <v>0.0011074983101068089</v>
      </c>
      <c r="E327" s="118">
        <v>2.594883417318786</v>
      </c>
      <c r="F327" s="102" t="s">
        <v>3110</v>
      </c>
      <c r="G327" s="102" t="b">
        <v>0</v>
      </c>
      <c r="H327" s="102" t="b">
        <v>0</v>
      </c>
      <c r="I327" s="102" t="b">
        <v>0</v>
      </c>
      <c r="J327" s="102" t="b">
        <v>0</v>
      </c>
      <c r="K327" s="102" t="b">
        <v>0</v>
      </c>
      <c r="L327" s="102" t="b">
        <v>0</v>
      </c>
    </row>
    <row r="328" spans="1:12" ht="15">
      <c r="A328" s="97" t="s">
        <v>2748</v>
      </c>
      <c r="B328" s="102" t="s">
        <v>2807</v>
      </c>
      <c r="C328" s="102">
        <v>2</v>
      </c>
      <c r="D328" s="118">
        <v>0.0012662275458906113</v>
      </c>
      <c r="E328" s="118">
        <v>2.5491259267581112</v>
      </c>
      <c r="F328" s="102" t="s">
        <v>3110</v>
      </c>
      <c r="G328" s="102" t="b">
        <v>0</v>
      </c>
      <c r="H328" s="102" t="b">
        <v>0</v>
      </c>
      <c r="I328" s="102" t="b">
        <v>0</v>
      </c>
      <c r="J328" s="102" t="b">
        <v>0</v>
      </c>
      <c r="K328" s="102" t="b">
        <v>0</v>
      </c>
      <c r="L328" s="102" t="b">
        <v>0</v>
      </c>
    </row>
    <row r="329" spans="1:12" ht="15">
      <c r="A329" s="97" t="s">
        <v>2661</v>
      </c>
      <c r="B329" s="102" t="s">
        <v>2734</v>
      </c>
      <c r="C329" s="102">
        <v>2</v>
      </c>
      <c r="D329" s="118">
        <v>0.0011074983101068089</v>
      </c>
      <c r="E329" s="118">
        <v>1.5668546937185426</v>
      </c>
      <c r="F329" s="102" t="s">
        <v>3110</v>
      </c>
      <c r="G329" s="102" t="b">
        <v>0</v>
      </c>
      <c r="H329" s="102" t="b">
        <v>0</v>
      </c>
      <c r="I329" s="102" t="b">
        <v>0</v>
      </c>
      <c r="J329" s="102" t="b">
        <v>0</v>
      </c>
      <c r="K329" s="102" t="b">
        <v>0</v>
      </c>
      <c r="L329" s="102" t="b">
        <v>0</v>
      </c>
    </row>
    <row r="330" spans="1:12" ht="15">
      <c r="A330" s="97" t="s">
        <v>2844</v>
      </c>
      <c r="B330" s="102" t="s">
        <v>3058</v>
      </c>
      <c r="C330" s="102">
        <v>2</v>
      </c>
      <c r="D330" s="118">
        <v>0.0012662275458906113</v>
      </c>
      <c r="E330" s="118">
        <v>3.0720046720384486</v>
      </c>
      <c r="F330" s="102" t="s">
        <v>3110</v>
      </c>
      <c r="G330" s="102" t="b">
        <v>0</v>
      </c>
      <c r="H330" s="102" t="b">
        <v>0</v>
      </c>
      <c r="I330" s="102" t="b">
        <v>0</v>
      </c>
      <c r="J330" s="102" t="b">
        <v>0</v>
      </c>
      <c r="K330" s="102" t="b">
        <v>0</v>
      </c>
      <c r="L330" s="102" t="b">
        <v>0</v>
      </c>
    </row>
    <row r="331" spans="1:12" ht="15">
      <c r="A331" s="97" t="s">
        <v>248</v>
      </c>
      <c r="B331" s="102" t="s">
        <v>399</v>
      </c>
      <c r="C331" s="102">
        <v>2</v>
      </c>
      <c r="D331" s="118">
        <v>0.0011074983101068089</v>
      </c>
      <c r="E331" s="118">
        <v>3.0720046720384486</v>
      </c>
      <c r="F331" s="102" t="s">
        <v>3110</v>
      </c>
      <c r="G331" s="102" t="b">
        <v>0</v>
      </c>
      <c r="H331" s="102" t="b">
        <v>0</v>
      </c>
      <c r="I331" s="102" t="b">
        <v>0</v>
      </c>
      <c r="J331" s="102" t="b">
        <v>0</v>
      </c>
      <c r="K331" s="102" t="b">
        <v>0</v>
      </c>
      <c r="L331" s="102" t="b">
        <v>0</v>
      </c>
    </row>
    <row r="332" spans="1:12" ht="15">
      <c r="A332" s="97" t="s">
        <v>397</v>
      </c>
      <c r="B332" s="102" t="s">
        <v>271</v>
      </c>
      <c r="C332" s="102">
        <v>2</v>
      </c>
      <c r="D332" s="118">
        <v>0.0011074983101068089</v>
      </c>
      <c r="E332" s="118">
        <v>2.5491259267581112</v>
      </c>
      <c r="F332" s="102" t="s">
        <v>3110</v>
      </c>
      <c r="G332" s="102" t="b">
        <v>0</v>
      </c>
      <c r="H332" s="102" t="b">
        <v>0</v>
      </c>
      <c r="I332" s="102" t="b">
        <v>0</v>
      </c>
      <c r="J332" s="102" t="b">
        <v>0</v>
      </c>
      <c r="K332" s="102" t="b">
        <v>0</v>
      </c>
      <c r="L332" s="102" t="b">
        <v>0</v>
      </c>
    </row>
    <row r="333" spans="1:12" ht="15">
      <c r="A333" s="97" t="s">
        <v>393</v>
      </c>
      <c r="B333" s="102" t="s">
        <v>388</v>
      </c>
      <c r="C333" s="102">
        <v>2</v>
      </c>
      <c r="D333" s="118">
        <v>0.0011074983101068089</v>
      </c>
      <c r="E333" s="118">
        <v>2.850155922422092</v>
      </c>
      <c r="F333" s="102" t="s">
        <v>3110</v>
      </c>
      <c r="G333" s="102" t="b">
        <v>0</v>
      </c>
      <c r="H333" s="102" t="b">
        <v>0</v>
      </c>
      <c r="I333" s="102" t="b">
        <v>0</v>
      </c>
      <c r="J333" s="102" t="b">
        <v>0</v>
      </c>
      <c r="K333" s="102" t="b">
        <v>0</v>
      </c>
      <c r="L333" s="102" t="b">
        <v>0</v>
      </c>
    </row>
    <row r="334" spans="1:12" ht="15">
      <c r="A334" s="97" t="s">
        <v>388</v>
      </c>
      <c r="B334" s="102" t="s">
        <v>3062</v>
      </c>
      <c r="C334" s="102">
        <v>2</v>
      </c>
      <c r="D334" s="118">
        <v>0.0011074983101068089</v>
      </c>
      <c r="E334" s="118">
        <v>2.850155922422092</v>
      </c>
      <c r="F334" s="102" t="s">
        <v>3110</v>
      </c>
      <c r="G334" s="102" t="b">
        <v>0</v>
      </c>
      <c r="H334" s="102" t="b">
        <v>0</v>
      </c>
      <c r="I334" s="102" t="b">
        <v>0</v>
      </c>
      <c r="J334" s="102" t="b">
        <v>0</v>
      </c>
      <c r="K334" s="102" t="b">
        <v>0</v>
      </c>
      <c r="L334" s="102" t="b">
        <v>0</v>
      </c>
    </row>
    <row r="335" spans="1:12" ht="15">
      <c r="A335" s="97" t="s">
        <v>3062</v>
      </c>
      <c r="B335" s="102" t="s">
        <v>3063</v>
      </c>
      <c r="C335" s="102">
        <v>2</v>
      </c>
      <c r="D335" s="118">
        <v>0.0011074983101068089</v>
      </c>
      <c r="E335" s="118">
        <v>3.24809593109413</v>
      </c>
      <c r="F335" s="102" t="s">
        <v>3110</v>
      </c>
      <c r="G335" s="102" t="b">
        <v>0</v>
      </c>
      <c r="H335" s="102" t="b">
        <v>0</v>
      </c>
      <c r="I335" s="102" t="b">
        <v>0</v>
      </c>
      <c r="J335" s="102" t="b">
        <v>0</v>
      </c>
      <c r="K335" s="102" t="b">
        <v>0</v>
      </c>
      <c r="L335" s="102" t="b">
        <v>0</v>
      </c>
    </row>
    <row r="336" spans="1:12" ht="15">
      <c r="A336" s="97" t="s">
        <v>3063</v>
      </c>
      <c r="B336" s="102" t="s">
        <v>2674</v>
      </c>
      <c r="C336" s="102">
        <v>2</v>
      </c>
      <c r="D336" s="118">
        <v>0.0011074983101068089</v>
      </c>
      <c r="E336" s="118">
        <v>2.2269066320241917</v>
      </c>
      <c r="F336" s="102" t="s">
        <v>3110</v>
      </c>
      <c r="G336" s="102" t="b">
        <v>0</v>
      </c>
      <c r="H336" s="102" t="b">
        <v>0</v>
      </c>
      <c r="I336" s="102" t="b">
        <v>0</v>
      </c>
      <c r="J336" s="102" t="b">
        <v>0</v>
      </c>
      <c r="K336" s="102" t="b">
        <v>0</v>
      </c>
      <c r="L336" s="102" t="b">
        <v>0</v>
      </c>
    </row>
    <row r="337" spans="1:12" ht="15">
      <c r="A337" s="97" t="s">
        <v>2674</v>
      </c>
      <c r="B337" s="102" t="s">
        <v>2866</v>
      </c>
      <c r="C337" s="102">
        <v>2</v>
      </c>
      <c r="D337" s="118">
        <v>0.0011074983101068089</v>
      </c>
      <c r="E337" s="118">
        <v>2.0720046720384486</v>
      </c>
      <c r="F337" s="102" t="s">
        <v>3110</v>
      </c>
      <c r="G337" s="102" t="b">
        <v>0</v>
      </c>
      <c r="H337" s="102" t="b">
        <v>0</v>
      </c>
      <c r="I337" s="102" t="b">
        <v>0</v>
      </c>
      <c r="J337" s="102" t="b">
        <v>0</v>
      </c>
      <c r="K337" s="102" t="b">
        <v>0</v>
      </c>
      <c r="L337" s="102" t="b">
        <v>0</v>
      </c>
    </row>
    <row r="338" spans="1:12" ht="15">
      <c r="A338" s="97" t="s">
        <v>2866</v>
      </c>
      <c r="B338" s="102" t="s">
        <v>2865</v>
      </c>
      <c r="C338" s="102">
        <v>2</v>
      </c>
      <c r="D338" s="118">
        <v>0.0011074983101068089</v>
      </c>
      <c r="E338" s="118">
        <v>2.8959134129827673</v>
      </c>
      <c r="F338" s="102" t="s">
        <v>3110</v>
      </c>
      <c r="G338" s="102" t="b">
        <v>0</v>
      </c>
      <c r="H338" s="102" t="b">
        <v>0</v>
      </c>
      <c r="I338" s="102" t="b">
        <v>0</v>
      </c>
      <c r="J338" s="102" t="b">
        <v>0</v>
      </c>
      <c r="K338" s="102" t="b">
        <v>0</v>
      </c>
      <c r="L338" s="102" t="b">
        <v>0</v>
      </c>
    </row>
    <row r="339" spans="1:12" ht="15">
      <c r="A339" s="97" t="s">
        <v>2865</v>
      </c>
      <c r="B339" s="102" t="s">
        <v>3064</v>
      </c>
      <c r="C339" s="102">
        <v>2</v>
      </c>
      <c r="D339" s="118">
        <v>0.0011074983101068089</v>
      </c>
      <c r="E339" s="118">
        <v>3.0720046720384486</v>
      </c>
      <c r="F339" s="102" t="s">
        <v>3110</v>
      </c>
      <c r="G339" s="102" t="b">
        <v>0</v>
      </c>
      <c r="H339" s="102" t="b">
        <v>0</v>
      </c>
      <c r="I339" s="102" t="b">
        <v>0</v>
      </c>
      <c r="J339" s="102" t="b">
        <v>0</v>
      </c>
      <c r="K339" s="102" t="b">
        <v>0</v>
      </c>
      <c r="L339" s="102" t="b">
        <v>0</v>
      </c>
    </row>
    <row r="340" spans="1:12" ht="15">
      <c r="A340" s="97" t="s">
        <v>3064</v>
      </c>
      <c r="B340" s="102" t="s">
        <v>2661</v>
      </c>
      <c r="C340" s="102">
        <v>2</v>
      </c>
      <c r="D340" s="118">
        <v>0.0011074983101068089</v>
      </c>
      <c r="E340" s="118">
        <v>2.0306119868802237</v>
      </c>
      <c r="F340" s="102" t="s">
        <v>3110</v>
      </c>
      <c r="G340" s="102" t="b">
        <v>0</v>
      </c>
      <c r="H340" s="102" t="b">
        <v>0</v>
      </c>
      <c r="I340" s="102" t="b">
        <v>0</v>
      </c>
      <c r="J340" s="102" t="b">
        <v>0</v>
      </c>
      <c r="K340" s="102" t="b">
        <v>0</v>
      </c>
      <c r="L340" s="102" t="b">
        <v>0</v>
      </c>
    </row>
    <row r="341" spans="1:12" ht="15">
      <c r="A341" s="97" t="s">
        <v>2661</v>
      </c>
      <c r="B341" s="102" t="s">
        <v>2716</v>
      </c>
      <c r="C341" s="102">
        <v>2</v>
      </c>
      <c r="D341" s="118">
        <v>0.0011074983101068089</v>
      </c>
      <c r="E341" s="118">
        <v>1.4419159571102427</v>
      </c>
      <c r="F341" s="102" t="s">
        <v>3110</v>
      </c>
      <c r="G341" s="102" t="b">
        <v>0</v>
      </c>
      <c r="H341" s="102" t="b">
        <v>0</v>
      </c>
      <c r="I341" s="102" t="b">
        <v>0</v>
      </c>
      <c r="J341" s="102" t="b">
        <v>0</v>
      </c>
      <c r="K341" s="102" t="b">
        <v>0</v>
      </c>
      <c r="L341" s="102" t="b">
        <v>0</v>
      </c>
    </row>
    <row r="342" spans="1:12" ht="15">
      <c r="A342" s="97" t="s">
        <v>2716</v>
      </c>
      <c r="B342" s="102" t="s">
        <v>2839</v>
      </c>
      <c r="C342" s="102">
        <v>2</v>
      </c>
      <c r="D342" s="118">
        <v>0.0011074983101068089</v>
      </c>
      <c r="E342" s="118">
        <v>2.527936627688173</v>
      </c>
      <c r="F342" s="102" t="s">
        <v>3110</v>
      </c>
      <c r="G342" s="102" t="b">
        <v>0</v>
      </c>
      <c r="H342" s="102" t="b">
        <v>0</v>
      </c>
      <c r="I342" s="102" t="b">
        <v>0</v>
      </c>
      <c r="J342" s="102" t="b">
        <v>0</v>
      </c>
      <c r="K342" s="102" t="b">
        <v>0</v>
      </c>
      <c r="L342" s="102" t="b">
        <v>0</v>
      </c>
    </row>
    <row r="343" spans="1:12" ht="15">
      <c r="A343" s="97" t="s">
        <v>2839</v>
      </c>
      <c r="B343" s="102" t="s">
        <v>3065</v>
      </c>
      <c r="C343" s="102">
        <v>2</v>
      </c>
      <c r="D343" s="118">
        <v>0.0011074983101068089</v>
      </c>
      <c r="E343" s="118">
        <v>3.0720046720384486</v>
      </c>
      <c r="F343" s="102" t="s">
        <v>3110</v>
      </c>
      <c r="G343" s="102" t="b">
        <v>0</v>
      </c>
      <c r="H343" s="102" t="b">
        <v>0</v>
      </c>
      <c r="I343" s="102" t="b">
        <v>0</v>
      </c>
      <c r="J343" s="102" t="b">
        <v>0</v>
      </c>
      <c r="K343" s="102" t="b">
        <v>0</v>
      </c>
      <c r="L343" s="102" t="b">
        <v>0</v>
      </c>
    </row>
    <row r="344" spans="1:12" ht="15">
      <c r="A344" s="97" t="s">
        <v>3065</v>
      </c>
      <c r="B344" s="102" t="s">
        <v>712</v>
      </c>
      <c r="C344" s="102">
        <v>2</v>
      </c>
      <c r="D344" s="118">
        <v>0.0011074983101068089</v>
      </c>
      <c r="E344" s="118">
        <v>1.2502728503484044</v>
      </c>
      <c r="F344" s="102" t="s">
        <v>3110</v>
      </c>
      <c r="G344" s="102" t="b">
        <v>0</v>
      </c>
      <c r="H344" s="102" t="b">
        <v>0</v>
      </c>
      <c r="I344" s="102" t="b">
        <v>0</v>
      </c>
      <c r="J344" s="102" t="b">
        <v>0</v>
      </c>
      <c r="K344" s="102" t="b">
        <v>0</v>
      </c>
      <c r="L344" s="102" t="b">
        <v>0</v>
      </c>
    </row>
    <row r="345" spans="1:12" ht="15">
      <c r="A345" s="97" t="s">
        <v>712</v>
      </c>
      <c r="B345" s="102" t="s">
        <v>2777</v>
      </c>
      <c r="C345" s="102">
        <v>2</v>
      </c>
      <c r="D345" s="118">
        <v>0.0011074983101068089</v>
      </c>
      <c r="E345" s="118">
        <v>0.9647947023905802</v>
      </c>
      <c r="F345" s="102" t="s">
        <v>3110</v>
      </c>
      <c r="G345" s="102" t="b">
        <v>0</v>
      </c>
      <c r="H345" s="102" t="b">
        <v>0</v>
      </c>
      <c r="I345" s="102" t="b">
        <v>0</v>
      </c>
      <c r="J345" s="102" t="b">
        <v>0</v>
      </c>
      <c r="K345" s="102" t="b">
        <v>0</v>
      </c>
      <c r="L345" s="102" t="b">
        <v>0</v>
      </c>
    </row>
    <row r="346" spans="1:12" ht="15">
      <c r="A346" s="97" t="s">
        <v>2777</v>
      </c>
      <c r="B346" s="102" t="s">
        <v>3066</v>
      </c>
      <c r="C346" s="102">
        <v>2</v>
      </c>
      <c r="D346" s="118">
        <v>0.0011074983101068089</v>
      </c>
      <c r="E346" s="118">
        <v>2.9470659354301487</v>
      </c>
      <c r="F346" s="102" t="s">
        <v>3110</v>
      </c>
      <c r="G346" s="102" t="b">
        <v>0</v>
      </c>
      <c r="H346" s="102" t="b">
        <v>0</v>
      </c>
      <c r="I346" s="102" t="b">
        <v>0</v>
      </c>
      <c r="J346" s="102" t="b">
        <v>0</v>
      </c>
      <c r="K346" s="102" t="b">
        <v>0</v>
      </c>
      <c r="L346" s="102" t="b">
        <v>0</v>
      </c>
    </row>
    <row r="347" spans="1:12" ht="15">
      <c r="A347" s="97" t="s">
        <v>3066</v>
      </c>
      <c r="B347" s="102" t="s">
        <v>2789</v>
      </c>
      <c r="C347" s="102">
        <v>2</v>
      </c>
      <c r="D347" s="118">
        <v>0.0011074983101068089</v>
      </c>
      <c r="E347" s="118">
        <v>2.9470659354301487</v>
      </c>
      <c r="F347" s="102" t="s">
        <v>3110</v>
      </c>
      <c r="G347" s="102" t="b">
        <v>0</v>
      </c>
      <c r="H347" s="102" t="b">
        <v>0</v>
      </c>
      <c r="I347" s="102" t="b">
        <v>0</v>
      </c>
      <c r="J347" s="102" t="b">
        <v>0</v>
      </c>
      <c r="K347" s="102" t="b">
        <v>0</v>
      </c>
      <c r="L347" s="102" t="b">
        <v>0</v>
      </c>
    </row>
    <row r="348" spans="1:12" ht="15">
      <c r="A348" s="97" t="s">
        <v>2789</v>
      </c>
      <c r="B348" s="102" t="s">
        <v>3067</v>
      </c>
      <c r="C348" s="102">
        <v>2</v>
      </c>
      <c r="D348" s="118">
        <v>0.0011074983101068089</v>
      </c>
      <c r="E348" s="118">
        <v>2.9470659354301487</v>
      </c>
      <c r="F348" s="102" t="s">
        <v>3110</v>
      </c>
      <c r="G348" s="102" t="b">
        <v>0</v>
      </c>
      <c r="H348" s="102" t="b">
        <v>0</v>
      </c>
      <c r="I348" s="102" t="b">
        <v>0</v>
      </c>
      <c r="J348" s="102" t="b">
        <v>0</v>
      </c>
      <c r="K348" s="102" t="b">
        <v>0</v>
      </c>
      <c r="L348" s="102" t="b">
        <v>0</v>
      </c>
    </row>
    <row r="349" spans="1:12" ht="15">
      <c r="A349" s="97" t="s">
        <v>3067</v>
      </c>
      <c r="B349" s="102" t="s">
        <v>3068</v>
      </c>
      <c r="C349" s="102">
        <v>2</v>
      </c>
      <c r="D349" s="118">
        <v>0.0011074983101068089</v>
      </c>
      <c r="E349" s="118">
        <v>3.24809593109413</v>
      </c>
      <c r="F349" s="102" t="s">
        <v>3110</v>
      </c>
      <c r="G349" s="102" t="b">
        <v>0</v>
      </c>
      <c r="H349" s="102" t="b">
        <v>0</v>
      </c>
      <c r="I349" s="102" t="b">
        <v>0</v>
      </c>
      <c r="J349" s="102" t="b">
        <v>0</v>
      </c>
      <c r="K349" s="102" t="b">
        <v>0</v>
      </c>
      <c r="L349" s="102" t="b">
        <v>0</v>
      </c>
    </row>
    <row r="350" spans="1:12" ht="15">
      <c r="A350" s="97" t="s">
        <v>3070</v>
      </c>
      <c r="B350" s="102" t="s">
        <v>3071</v>
      </c>
      <c r="C350" s="102">
        <v>2</v>
      </c>
      <c r="D350" s="118">
        <v>0.0011074983101068089</v>
      </c>
      <c r="E350" s="118">
        <v>3.24809593109413</v>
      </c>
      <c r="F350" s="102" t="s">
        <v>3110</v>
      </c>
      <c r="G350" s="102" t="b">
        <v>0</v>
      </c>
      <c r="H350" s="102" t="b">
        <v>0</v>
      </c>
      <c r="I350" s="102" t="b">
        <v>0</v>
      </c>
      <c r="J350" s="102" t="b">
        <v>0</v>
      </c>
      <c r="K350" s="102" t="b">
        <v>0</v>
      </c>
      <c r="L350" s="102" t="b">
        <v>0</v>
      </c>
    </row>
    <row r="351" spans="1:12" ht="15">
      <c r="A351" s="97" t="s">
        <v>3071</v>
      </c>
      <c r="B351" s="102" t="s">
        <v>2660</v>
      </c>
      <c r="C351" s="102">
        <v>2</v>
      </c>
      <c r="D351" s="118">
        <v>0.0011074983101068089</v>
      </c>
      <c r="E351" s="118">
        <v>1.9258766363602107</v>
      </c>
      <c r="F351" s="102" t="s">
        <v>3110</v>
      </c>
      <c r="G351" s="102" t="b">
        <v>0</v>
      </c>
      <c r="H351" s="102" t="b">
        <v>0</v>
      </c>
      <c r="I351" s="102" t="b">
        <v>0</v>
      </c>
      <c r="J351" s="102" t="b">
        <v>0</v>
      </c>
      <c r="K351" s="102" t="b">
        <v>0</v>
      </c>
      <c r="L351" s="102" t="b">
        <v>0</v>
      </c>
    </row>
    <row r="352" spans="1:12" ht="15">
      <c r="A352" s="97" t="s">
        <v>2660</v>
      </c>
      <c r="B352" s="102" t="s">
        <v>2891</v>
      </c>
      <c r="C352" s="102">
        <v>2</v>
      </c>
      <c r="D352" s="118">
        <v>0.0011074983101068089</v>
      </c>
      <c r="E352" s="118">
        <v>1.8167321669351424</v>
      </c>
      <c r="F352" s="102" t="s">
        <v>3110</v>
      </c>
      <c r="G352" s="102" t="b">
        <v>0</v>
      </c>
      <c r="H352" s="102" t="b">
        <v>0</v>
      </c>
      <c r="I352" s="102" t="b">
        <v>0</v>
      </c>
      <c r="J352" s="102" t="b">
        <v>0</v>
      </c>
      <c r="K352" s="102" t="b">
        <v>0</v>
      </c>
      <c r="L352" s="102" t="b">
        <v>0</v>
      </c>
    </row>
    <row r="353" spans="1:12" ht="15">
      <c r="A353" s="97" t="s">
        <v>2891</v>
      </c>
      <c r="B353" s="102" t="s">
        <v>712</v>
      </c>
      <c r="C353" s="102">
        <v>2</v>
      </c>
      <c r="D353" s="118">
        <v>0.0011074983101068089</v>
      </c>
      <c r="E353" s="118">
        <v>1.074181591292723</v>
      </c>
      <c r="F353" s="102" t="s">
        <v>3110</v>
      </c>
      <c r="G353" s="102" t="b">
        <v>0</v>
      </c>
      <c r="H353" s="102" t="b">
        <v>0</v>
      </c>
      <c r="I353" s="102" t="b">
        <v>0</v>
      </c>
      <c r="J353" s="102" t="b">
        <v>0</v>
      </c>
      <c r="K353" s="102" t="b">
        <v>0</v>
      </c>
      <c r="L353" s="102" t="b">
        <v>0</v>
      </c>
    </row>
    <row r="354" spans="1:12" ht="15">
      <c r="A354" s="97" t="s">
        <v>712</v>
      </c>
      <c r="B354" s="102" t="s">
        <v>3072</v>
      </c>
      <c r="C354" s="102">
        <v>2</v>
      </c>
      <c r="D354" s="118">
        <v>0.0011074983101068089</v>
      </c>
      <c r="E354" s="118">
        <v>1.2658246980545613</v>
      </c>
      <c r="F354" s="102" t="s">
        <v>3110</v>
      </c>
      <c r="G354" s="102" t="b">
        <v>0</v>
      </c>
      <c r="H354" s="102" t="b">
        <v>0</v>
      </c>
      <c r="I354" s="102" t="b">
        <v>0</v>
      </c>
      <c r="J354" s="102" t="b">
        <v>0</v>
      </c>
      <c r="K354" s="102" t="b">
        <v>0</v>
      </c>
      <c r="L354" s="102" t="b">
        <v>0</v>
      </c>
    </row>
    <row r="355" spans="1:12" ht="15">
      <c r="A355" s="97" t="s">
        <v>3072</v>
      </c>
      <c r="B355" s="102" t="s">
        <v>3073</v>
      </c>
      <c r="C355" s="102">
        <v>2</v>
      </c>
      <c r="D355" s="118">
        <v>0.0011074983101068089</v>
      </c>
      <c r="E355" s="118">
        <v>3.24809593109413</v>
      </c>
      <c r="F355" s="102" t="s">
        <v>3110</v>
      </c>
      <c r="G355" s="102" t="b">
        <v>0</v>
      </c>
      <c r="H355" s="102" t="b">
        <v>0</v>
      </c>
      <c r="I355" s="102" t="b">
        <v>0</v>
      </c>
      <c r="J355" s="102" t="b">
        <v>0</v>
      </c>
      <c r="K355" s="102" t="b">
        <v>0</v>
      </c>
      <c r="L355" s="102" t="b">
        <v>0</v>
      </c>
    </row>
    <row r="356" spans="1:12" ht="15">
      <c r="A356" s="97" t="s">
        <v>3073</v>
      </c>
      <c r="B356" s="102" t="s">
        <v>2733</v>
      </c>
      <c r="C356" s="102">
        <v>2</v>
      </c>
      <c r="D356" s="118">
        <v>0.0011074983101068089</v>
      </c>
      <c r="E356" s="118">
        <v>2.7709746763744674</v>
      </c>
      <c r="F356" s="102" t="s">
        <v>3110</v>
      </c>
      <c r="G356" s="102" t="b">
        <v>0</v>
      </c>
      <c r="H356" s="102" t="b">
        <v>0</v>
      </c>
      <c r="I356" s="102" t="b">
        <v>0</v>
      </c>
      <c r="J356" s="102" t="b">
        <v>0</v>
      </c>
      <c r="K356" s="102" t="b">
        <v>0</v>
      </c>
      <c r="L356" s="102" t="b">
        <v>0</v>
      </c>
    </row>
    <row r="357" spans="1:12" ht="15">
      <c r="A357" s="97" t="s">
        <v>2733</v>
      </c>
      <c r="B357" s="102" t="s">
        <v>2911</v>
      </c>
      <c r="C357" s="102">
        <v>2</v>
      </c>
      <c r="D357" s="118">
        <v>0.0011074983101068089</v>
      </c>
      <c r="E357" s="118">
        <v>2.594883417318786</v>
      </c>
      <c r="F357" s="102" t="s">
        <v>3110</v>
      </c>
      <c r="G357" s="102" t="b">
        <v>0</v>
      </c>
      <c r="H357" s="102" t="b">
        <v>0</v>
      </c>
      <c r="I357" s="102" t="b">
        <v>0</v>
      </c>
      <c r="J357" s="102" t="b">
        <v>0</v>
      </c>
      <c r="K357" s="102" t="b">
        <v>0</v>
      </c>
      <c r="L357" s="102" t="b">
        <v>0</v>
      </c>
    </row>
    <row r="358" spans="1:12" ht="15">
      <c r="A358" s="97" t="s">
        <v>2911</v>
      </c>
      <c r="B358" s="102" t="s">
        <v>2809</v>
      </c>
      <c r="C358" s="102">
        <v>2</v>
      </c>
      <c r="D358" s="118">
        <v>0.0011074983101068089</v>
      </c>
      <c r="E358" s="118">
        <v>2.7709746763744674</v>
      </c>
      <c r="F358" s="102" t="s">
        <v>3110</v>
      </c>
      <c r="G358" s="102" t="b">
        <v>0</v>
      </c>
      <c r="H358" s="102" t="b">
        <v>0</v>
      </c>
      <c r="I358" s="102" t="b">
        <v>0</v>
      </c>
      <c r="J358" s="102" t="b">
        <v>0</v>
      </c>
      <c r="K358" s="102" t="b">
        <v>0</v>
      </c>
      <c r="L358" s="102" t="b">
        <v>0</v>
      </c>
    </row>
    <row r="359" spans="1:12" ht="15">
      <c r="A359" s="97" t="s">
        <v>2809</v>
      </c>
      <c r="B359" s="102" t="s">
        <v>3074</v>
      </c>
      <c r="C359" s="102">
        <v>2</v>
      </c>
      <c r="D359" s="118">
        <v>0.0011074983101068089</v>
      </c>
      <c r="E359" s="118">
        <v>2.9470659354301487</v>
      </c>
      <c r="F359" s="102" t="s">
        <v>3110</v>
      </c>
      <c r="G359" s="102" t="b">
        <v>0</v>
      </c>
      <c r="H359" s="102" t="b">
        <v>0</v>
      </c>
      <c r="I359" s="102" t="b">
        <v>0</v>
      </c>
      <c r="J359" s="102" t="b">
        <v>0</v>
      </c>
      <c r="K359" s="102" t="b">
        <v>0</v>
      </c>
      <c r="L359" s="102" t="b">
        <v>0</v>
      </c>
    </row>
    <row r="360" spans="1:12" ht="15">
      <c r="A360" s="97" t="s">
        <v>3074</v>
      </c>
      <c r="B360" s="102" t="s">
        <v>3075</v>
      </c>
      <c r="C360" s="102">
        <v>2</v>
      </c>
      <c r="D360" s="118">
        <v>0.0011074983101068089</v>
      </c>
      <c r="E360" s="118">
        <v>3.24809593109413</v>
      </c>
      <c r="F360" s="102" t="s">
        <v>3110</v>
      </c>
      <c r="G360" s="102" t="b">
        <v>0</v>
      </c>
      <c r="H360" s="102" t="b">
        <v>0</v>
      </c>
      <c r="I360" s="102" t="b">
        <v>0</v>
      </c>
      <c r="J360" s="102" t="b">
        <v>0</v>
      </c>
      <c r="K360" s="102" t="b">
        <v>0</v>
      </c>
      <c r="L360" s="102" t="b">
        <v>0</v>
      </c>
    </row>
    <row r="361" spans="1:12" ht="15">
      <c r="A361" s="97" t="s">
        <v>3075</v>
      </c>
      <c r="B361" s="102" t="s">
        <v>3076</v>
      </c>
      <c r="C361" s="102">
        <v>2</v>
      </c>
      <c r="D361" s="118">
        <v>0.0011074983101068089</v>
      </c>
      <c r="E361" s="118">
        <v>3.24809593109413</v>
      </c>
      <c r="F361" s="102" t="s">
        <v>3110</v>
      </c>
      <c r="G361" s="102" t="b">
        <v>0</v>
      </c>
      <c r="H361" s="102" t="b">
        <v>0</v>
      </c>
      <c r="I361" s="102" t="b">
        <v>0</v>
      </c>
      <c r="J361" s="102" t="b">
        <v>0</v>
      </c>
      <c r="K361" s="102" t="b">
        <v>0</v>
      </c>
      <c r="L361" s="102" t="b">
        <v>0</v>
      </c>
    </row>
    <row r="362" spans="1:12" ht="15">
      <c r="A362" s="97" t="s">
        <v>3076</v>
      </c>
      <c r="B362" s="102" t="s">
        <v>2837</v>
      </c>
      <c r="C362" s="102">
        <v>2</v>
      </c>
      <c r="D362" s="118">
        <v>0.0011074983101068089</v>
      </c>
      <c r="E362" s="118">
        <v>3.0720046720384486</v>
      </c>
      <c r="F362" s="102" t="s">
        <v>3110</v>
      </c>
      <c r="G362" s="102" t="b">
        <v>0</v>
      </c>
      <c r="H362" s="102" t="b">
        <v>0</v>
      </c>
      <c r="I362" s="102" t="b">
        <v>0</v>
      </c>
      <c r="J362" s="102" t="b">
        <v>0</v>
      </c>
      <c r="K362" s="102" t="b">
        <v>0</v>
      </c>
      <c r="L362" s="102" t="b">
        <v>0</v>
      </c>
    </row>
    <row r="363" spans="1:12" ht="15">
      <c r="A363" s="97" t="s">
        <v>2837</v>
      </c>
      <c r="B363" s="102" t="s">
        <v>2740</v>
      </c>
      <c r="C363" s="102">
        <v>2</v>
      </c>
      <c r="D363" s="118">
        <v>0.0011074983101068089</v>
      </c>
      <c r="E363" s="118">
        <v>2.594883417318786</v>
      </c>
      <c r="F363" s="102" t="s">
        <v>3110</v>
      </c>
      <c r="G363" s="102" t="b">
        <v>0</v>
      </c>
      <c r="H363" s="102" t="b">
        <v>0</v>
      </c>
      <c r="I363" s="102" t="b">
        <v>0</v>
      </c>
      <c r="J363" s="102" t="b">
        <v>0</v>
      </c>
      <c r="K363" s="102" t="b">
        <v>0</v>
      </c>
      <c r="L363" s="102" t="b">
        <v>0</v>
      </c>
    </row>
    <row r="364" spans="1:12" ht="15">
      <c r="A364" s="97" t="s">
        <v>2740</v>
      </c>
      <c r="B364" s="102" t="s">
        <v>3077</v>
      </c>
      <c r="C364" s="102">
        <v>2</v>
      </c>
      <c r="D364" s="118">
        <v>0.0011074983101068089</v>
      </c>
      <c r="E364" s="118">
        <v>2.7709746763744674</v>
      </c>
      <c r="F364" s="102" t="s">
        <v>3110</v>
      </c>
      <c r="G364" s="102" t="b">
        <v>0</v>
      </c>
      <c r="H364" s="102" t="b">
        <v>0</v>
      </c>
      <c r="I364" s="102" t="b">
        <v>0</v>
      </c>
      <c r="J364" s="102" t="b">
        <v>0</v>
      </c>
      <c r="K364" s="102" t="b">
        <v>0</v>
      </c>
      <c r="L364" s="102" t="b">
        <v>0</v>
      </c>
    </row>
    <row r="365" spans="1:12" ht="15">
      <c r="A365" s="97" t="s">
        <v>2790</v>
      </c>
      <c r="B365" s="102" t="s">
        <v>3078</v>
      </c>
      <c r="C365" s="102">
        <v>2</v>
      </c>
      <c r="D365" s="118">
        <v>0.0011074983101068089</v>
      </c>
      <c r="E365" s="118">
        <v>2.9470659354301487</v>
      </c>
      <c r="F365" s="102" t="s">
        <v>3110</v>
      </c>
      <c r="G365" s="102" t="b">
        <v>0</v>
      </c>
      <c r="H365" s="102" t="b">
        <v>0</v>
      </c>
      <c r="I365" s="102" t="b">
        <v>0</v>
      </c>
      <c r="J365" s="102" t="b">
        <v>0</v>
      </c>
      <c r="K365" s="102" t="b">
        <v>0</v>
      </c>
      <c r="L365" s="102" t="b">
        <v>0</v>
      </c>
    </row>
    <row r="366" spans="1:12" ht="15">
      <c r="A366" s="97" t="s">
        <v>3078</v>
      </c>
      <c r="B366" s="102" t="s">
        <v>3079</v>
      </c>
      <c r="C366" s="102">
        <v>2</v>
      </c>
      <c r="D366" s="118">
        <v>0.0011074983101068089</v>
      </c>
      <c r="E366" s="118">
        <v>3.24809593109413</v>
      </c>
      <c r="F366" s="102" t="s">
        <v>3110</v>
      </c>
      <c r="G366" s="102" t="b">
        <v>0</v>
      </c>
      <c r="H366" s="102" t="b">
        <v>0</v>
      </c>
      <c r="I366" s="102" t="b">
        <v>0</v>
      </c>
      <c r="J366" s="102" t="b">
        <v>0</v>
      </c>
      <c r="K366" s="102" t="b">
        <v>0</v>
      </c>
      <c r="L366" s="102" t="b">
        <v>0</v>
      </c>
    </row>
    <row r="367" spans="1:12" ht="15">
      <c r="A367" s="97" t="s">
        <v>3079</v>
      </c>
      <c r="B367" s="102" t="s">
        <v>3080</v>
      </c>
      <c r="C367" s="102">
        <v>2</v>
      </c>
      <c r="D367" s="118">
        <v>0.0011074983101068089</v>
      </c>
      <c r="E367" s="118">
        <v>3.24809593109413</v>
      </c>
      <c r="F367" s="102" t="s">
        <v>3110</v>
      </c>
      <c r="G367" s="102" t="b">
        <v>0</v>
      </c>
      <c r="H367" s="102" t="b">
        <v>0</v>
      </c>
      <c r="I367" s="102" t="b">
        <v>0</v>
      </c>
      <c r="J367" s="102" t="b">
        <v>0</v>
      </c>
      <c r="K367" s="102" t="b">
        <v>0</v>
      </c>
      <c r="L367" s="102" t="b">
        <v>0</v>
      </c>
    </row>
    <row r="368" spans="1:12" ht="15">
      <c r="A368" s="97" t="s">
        <v>3080</v>
      </c>
      <c r="B368" s="102" t="s">
        <v>2846</v>
      </c>
      <c r="C368" s="102">
        <v>2</v>
      </c>
      <c r="D368" s="118">
        <v>0.0011074983101068089</v>
      </c>
      <c r="E368" s="118">
        <v>3.0720046720384486</v>
      </c>
      <c r="F368" s="102" t="s">
        <v>3110</v>
      </c>
      <c r="G368" s="102" t="b">
        <v>0</v>
      </c>
      <c r="H368" s="102" t="b">
        <v>0</v>
      </c>
      <c r="I368" s="102" t="b">
        <v>0</v>
      </c>
      <c r="J368" s="102" t="b">
        <v>0</v>
      </c>
      <c r="K368" s="102" t="b">
        <v>0</v>
      </c>
      <c r="L368" s="102" t="b">
        <v>0</v>
      </c>
    </row>
    <row r="369" spans="1:12" ht="15">
      <c r="A369" s="97" t="s">
        <v>2846</v>
      </c>
      <c r="B369" s="102" t="s">
        <v>3081</v>
      </c>
      <c r="C369" s="102">
        <v>2</v>
      </c>
      <c r="D369" s="118">
        <v>0.0011074983101068089</v>
      </c>
      <c r="E369" s="118">
        <v>3.0720046720384486</v>
      </c>
      <c r="F369" s="102" t="s">
        <v>3110</v>
      </c>
      <c r="G369" s="102" t="b">
        <v>0</v>
      </c>
      <c r="H369" s="102" t="b">
        <v>0</v>
      </c>
      <c r="I369" s="102" t="b">
        <v>0</v>
      </c>
      <c r="J369" s="102" t="b">
        <v>0</v>
      </c>
      <c r="K369" s="102" t="b">
        <v>0</v>
      </c>
      <c r="L369" s="102" t="b">
        <v>0</v>
      </c>
    </row>
    <row r="370" spans="1:12" ht="15">
      <c r="A370" s="97" t="s">
        <v>3081</v>
      </c>
      <c r="B370" s="102" t="s">
        <v>3082</v>
      </c>
      <c r="C370" s="102">
        <v>2</v>
      </c>
      <c r="D370" s="118">
        <v>0.0011074983101068089</v>
      </c>
      <c r="E370" s="118">
        <v>3.24809593109413</v>
      </c>
      <c r="F370" s="102" t="s">
        <v>3110</v>
      </c>
      <c r="G370" s="102" t="b">
        <v>0</v>
      </c>
      <c r="H370" s="102" t="b">
        <v>0</v>
      </c>
      <c r="I370" s="102" t="b">
        <v>0</v>
      </c>
      <c r="J370" s="102" t="b">
        <v>0</v>
      </c>
      <c r="K370" s="102" t="b">
        <v>0</v>
      </c>
      <c r="L370" s="102" t="b">
        <v>0</v>
      </c>
    </row>
    <row r="371" spans="1:12" ht="15">
      <c r="A371" s="97" t="s">
        <v>3082</v>
      </c>
      <c r="B371" s="102" t="s">
        <v>3083</v>
      </c>
      <c r="C371" s="102">
        <v>2</v>
      </c>
      <c r="D371" s="118">
        <v>0.0011074983101068089</v>
      </c>
      <c r="E371" s="118">
        <v>3.24809593109413</v>
      </c>
      <c r="F371" s="102" t="s">
        <v>3110</v>
      </c>
      <c r="G371" s="102" t="b">
        <v>0</v>
      </c>
      <c r="H371" s="102" t="b">
        <v>0</v>
      </c>
      <c r="I371" s="102" t="b">
        <v>0</v>
      </c>
      <c r="J371" s="102" t="b">
        <v>0</v>
      </c>
      <c r="K371" s="102" t="b">
        <v>0</v>
      </c>
      <c r="L371" s="102" t="b">
        <v>0</v>
      </c>
    </row>
    <row r="372" spans="1:12" ht="15">
      <c r="A372" s="97" t="s">
        <v>3083</v>
      </c>
      <c r="B372" s="102" t="s">
        <v>3084</v>
      </c>
      <c r="C372" s="102">
        <v>2</v>
      </c>
      <c r="D372" s="118">
        <v>0.0011074983101068089</v>
      </c>
      <c r="E372" s="118">
        <v>3.24809593109413</v>
      </c>
      <c r="F372" s="102" t="s">
        <v>3110</v>
      </c>
      <c r="G372" s="102" t="b">
        <v>0</v>
      </c>
      <c r="H372" s="102" t="b">
        <v>0</v>
      </c>
      <c r="I372" s="102" t="b">
        <v>0</v>
      </c>
      <c r="J372" s="102" t="b">
        <v>0</v>
      </c>
      <c r="K372" s="102" t="b">
        <v>0</v>
      </c>
      <c r="L372" s="102" t="b">
        <v>0</v>
      </c>
    </row>
    <row r="373" spans="1:12" ht="15">
      <c r="A373" s="97" t="s">
        <v>3084</v>
      </c>
      <c r="B373" s="102" t="s">
        <v>2788</v>
      </c>
      <c r="C373" s="102">
        <v>2</v>
      </c>
      <c r="D373" s="118">
        <v>0.0011074983101068089</v>
      </c>
      <c r="E373" s="118">
        <v>2.9470659354301487</v>
      </c>
      <c r="F373" s="102" t="s">
        <v>3110</v>
      </c>
      <c r="G373" s="102" t="b">
        <v>0</v>
      </c>
      <c r="H373" s="102" t="b">
        <v>0</v>
      </c>
      <c r="I373" s="102" t="b">
        <v>0</v>
      </c>
      <c r="J373" s="102" t="b">
        <v>0</v>
      </c>
      <c r="K373" s="102" t="b">
        <v>0</v>
      </c>
      <c r="L373" s="102" t="b">
        <v>0</v>
      </c>
    </row>
    <row r="374" spans="1:12" ht="15">
      <c r="A374" s="97" t="s">
        <v>2788</v>
      </c>
      <c r="B374" s="102" t="s">
        <v>3085</v>
      </c>
      <c r="C374" s="102">
        <v>2</v>
      </c>
      <c r="D374" s="118">
        <v>0.0011074983101068089</v>
      </c>
      <c r="E374" s="118">
        <v>3.0720046720384486</v>
      </c>
      <c r="F374" s="102" t="s">
        <v>3110</v>
      </c>
      <c r="G374" s="102" t="b">
        <v>0</v>
      </c>
      <c r="H374" s="102" t="b">
        <v>0</v>
      </c>
      <c r="I374" s="102" t="b">
        <v>0</v>
      </c>
      <c r="J374" s="102" t="b">
        <v>0</v>
      </c>
      <c r="K374" s="102" t="b">
        <v>0</v>
      </c>
      <c r="L374" s="102" t="b">
        <v>0</v>
      </c>
    </row>
    <row r="375" spans="1:12" ht="15">
      <c r="A375" s="97" t="s">
        <v>3085</v>
      </c>
      <c r="B375" s="102" t="s">
        <v>2869</v>
      </c>
      <c r="C375" s="102">
        <v>2</v>
      </c>
      <c r="D375" s="118">
        <v>0.0011074983101068089</v>
      </c>
      <c r="E375" s="118">
        <v>3.0720046720384486</v>
      </c>
      <c r="F375" s="102" t="s">
        <v>3110</v>
      </c>
      <c r="G375" s="102" t="b">
        <v>0</v>
      </c>
      <c r="H375" s="102" t="b">
        <v>0</v>
      </c>
      <c r="I375" s="102" t="b">
        <v>0</v>
      </c>
      <c r="J375" s="102" t="b">
        <v>0</v>
      </c>
      <c r="K375" s="102" t="b">
        <v>0</v>
      </c>
      <c r="L375" s="102" t="b">
        <v>0</v>
      </c>
    </row>
    <row r="376" spans="1:12" ht="15">
      <c r="A376" s="97" t="s">
        <v>2869</v>
      </c>
      <c r="B376" s="102" t="s">
        <v>3086</v>
      </c>
      <c r="C376" s="102">
        <v>2</v>
      </c>
      <c r="D376" s="118">
        <v>0.0011074983101068089</v>
      </c>
      <c r="E376" s="118">
        <v>3.24809593109413</v>
      </c>
      <c r="F376" s="102" t="s">
        <v>3110</v>
      </c>
      <c r="G376" s="102" t="b">
        <v>0</v>
      </c>
      <c r="H376" s="102" t="b">
        <v>0</v>
      </c>
      <c r="I376" s="102" t="b">
        <v>0</v>
      </c>
      <c r="J376" s="102" t="b">
        <v>0</v>
      </c>
      <c r="K376" s="102" t="b">
        <v>0</v>
      </c>
      <c r="L376" s="102" t="b">
        <v>0</v>
      </c>
    </row>
    <row r="377" spans="1:12" ht="15">
      <c r="A377" s="97" t="s">
        <v>3086</v>
      </c>
      <c r="B377" s="102" t="s">
        <v>3087</v>
      </c>
      <c r="C377" s="102">
        <v>2</v>
      </c>
      <c r="D377" s="118">
        <v>0.0011074983101068089</v>
      </c>
      <c r="E377" s="118">
        <v>3.24809593109413</v>
      </c>
      <c r="F377" s="102" t="s">
        <v>3110</v>
      </c>
      <c r="G377" s="102" t="b">
        <v>0</v>
      </c>
      <c r="H377" s="102" t="b">
        <v>0</v>
      </c>
      <c r="I377" s="102" t="b">
        <v>0</v>
      </c>
      <c r="J377" s="102" t="b">
        <v>0</v>
      </c>
      <c r="K377" s="102" t="b">
        <v>0</v>
      </c>
      <c r="L377" s="102" t="b">
        <v>0</v>
      </c>
    </row>
    <row r="378" spans="1:12" ht="15">
      <c r="A378" s="97" t="s">
        <v>3087</v>
      </c>
      <c r="B378" s="102" t="s">
        <v>3088</v>
      </c>
      <c r="C378" s="102">
        <v>2</v>
      </c>
      <c r="D378" s="118">
        <v>0.0011074983101068089</v>
      </c>
      <c r="E378" s="118">
        <v>3.24809593109413</v>
      </c>
      <c r="F378" s="102" t="s">
        <v>3110</v>
      </c>
      <c r="G378" s="102" t="b">
        <v>0</v>
      </c>
      <c r="H378" s="102" t="b">
        <v>0</v>
      </c>
      <c r="I378" s="102" t="b">
        <v>0</v>
      </c>
      <c r="J378" s="102" t="b">
        <v>0</v>
      </c>
      <c r="K378" s="102" t="b">
        <v>0</v>
      </c>
      <c r="L378" s="102" t="b">
        <v>0</v>
      </c>
    </row>
    <row r="379" spans="1:12" ht="15">
      <c r="A379" s="97" t="s">
        <v>3088</v>
      </c>
      <c r="B379" s="102" t="s">
        <v>2810</v>
      </c>
      <c r="C379" s="102">
        <v>2</v>
      </c>
      <c r="D379" s="118">
        <v>0.0011074983101068089</v>
      </c>
      <c r="E379" s="118">
        <v>2.9470659354301487</v>
      </c>
      <c r="F379" s="102" t="s">
        <v>3110</v>
      </c>
      <c r="G379" s="102" t="b">
        <v>0</v>
      </c>
      <c r="H379" s="102" t="b">
        <v>0</v>
      </c>
      <c r="I379" s="102" t="b">
        <v>0</v>
      </c>
      <c r="J379" s="102" t="b">
        <v>0</v>
      </c>
      <c r="K379" s="102" t="b">
        <v>0</v>
      </c>
      <c r="L379" s="102" t="b">
        <v>0</v>
      </c>
    </row>
    <row r="380" spans="1:12" ht="15">
      <c r="A380" s="97" t="s">
        <v>2810</v>
      </c>
      <c r="B380" s="102" t="s">
        <v>712</v>
      </c>
      <c r="C380" s="102">
        <v>2</v>
      </c>
      <c r="D380" s="118">
        <v>0.0011074983101068089</v>
      </c>
      <c r="E380" s="118">
        <v>0.9492428546844233</v>
      </c>
      <c r="F380" s="102" t="s">
        <v>3110</v>
      </c>
      <c r="G380" s="102" t="b">
        <v>0</v>
      </c>
      <c r="H380" s="102" t="b">
        <v>0</v>
      </c>
      <c r="I380" s="102" t="b">
        <v>0</v>
      </c>
      <c r="J380" s="102" t="b">
        <v>0</v>
      </c>
      <c r="K380" s="102" t="b">
        <v>0</v>
      </c>
      <c r="L380" s="102" t="b">
        <v>0</v>
      </c>
    </row>
    <row r="381" spans="1:12" ht="15">
      <c r="A381" s="97" t="s">
        <v>712</v>
      </c>
      <c r="B381" s="102" t="s">
        <v>2682</v>
      </c>
      <c r="C381" s="102">
        <v>2</v>
      </c>
      <c r="D381" s="118">
        <v>0.0011074983101068089</v>
      </c>
      <c r="E381" s="118">
        <v>0.39076343466286145</v>
      </c>
      <c r="F381" s="102" t="s">
        <v>3110</v>
      </c>
      <c r="G381" s="102" t="b">
        <v>0</v>
      </c>
      <c r="H381" s="102" t="b">
        <v>0</v>
      </c>
      <c r="I381" s="102" t="b">
        <v>0</v>
      </c>
      <c r="J381" s="102" t="b">
        <v>0</v>
      </c>
      <c r="K381" s="102" t="b">
        <v>0</v>
      </c>
      <c r="L381" s="102" t="b">
        <v>0</v>
      </c>
    </row>
    <row r="382" spans="1:12" ht="15">
      <c r="A382" s="97" t="s">
        <v>2682</v>
      </c>
      <c r="B382" s="102" t="s">
        <v>3089</v>
      </c>
      <c r="C382" s="102">
        <v>2</v>
      </c>
      <c r="D382" s="118">
        <v>0.0011074983101068089</v>
      </c>
      <c r="E382" s="118">
        <v>2.37303466770243</v>
      </c>
      <c r="F382" s="102" t="s">
        <v>3110</v>
      </c>
      <c r="G382" s="102" t="b">
        <v>0</v>
      </c>
      <c r="H382" s="102" t="b">
        <v>0</v>
      </c>
      <c r="I382" s="102" t="b">
        <v>0</v>
      </c>
      <c r="J382" s="102" t="b">
        <v>0</v>
      </c>
      <c r="K382" s="102" t="b">
        <v>0</v>
      </c>
      <c r="L382" s="102" t="b">
        <v>0</v>
      </c>
    </row>
    <row r="383" spans="1:12" ht="15">
      <c r="A383" s="97" t="s">
        <v>3089</v>
      </c>
      <c r="B383" s="102" t="s">
        <v>2710</v>
      </c>
      <c r="C383" s="102">
        <v>2</v>
      </c>
      <c r="D383" s="118">
        <v>0.0011074983101068089</v>
      </c>
      <c r="E383" s="118">
        <v>2.594883417318786</v>
      </c>
      <c r="F383" s="102" t="s">
        <v>3110</v>
      </c>
      <c r="G383" s="102" t="b">
        <v>0</v>
      </c>
      <c r="H383" s="102" t="b">
        <v>0</v>
      </c>
      <c r="I383" s="102" t="b">
        <v>0</v>
      </c>
      <c r="J383" s="102" t="b">
        <v>0</v>
      </c>
      <c r="K383" s="102" t="b">
        <v>0</v>
      </c>
      <c r="L383" s="102" t="b">
        <v>0</v>
      </c>
    </row>
    <row r="384" spans="1:12" ht="15">
      <c r="A384" s="97" t="s">
        <v>2751</v>
      </c>
      <c r="B384" s="102" t="s">
        <v>2848</v>
      </c>
      <c r="C384" s="102">
        <v>2</v>
      </c>
      <c r="D384" s="118">
        <v>0.0011074983101068089</v>
      </c>
      <c r="E384" s="118">
        <v>2.674064663366411</v>
      </c>
      <c r="F384" s="102" t="s">
        <v>3110</v>
      </c>
      <c r="G384" s="102" t="b">
        <v>0</v>
      </c>
      <c r="H384" s="102" t="b">
        <v>0</v>
      </c>
      <c r="I384" s="102" t="b">
        <v>0</v>
      </c>
      <c r="J384" s="102" t="b">
        <v>0</v>
      </c>
      <c r="K384" s="102" t="b">
        <v>0</v>
      </c>
      <c r="L384" s="102" t="b">
        <v>0</v>
      </c>
    </row>
    <row r="385" spans="1:12" ht="15">
      <c r="A385" s="97" t="s">
        <v>2848</v>
      </c>
      <c r="B385" s="102" t="s">
        <v>2832</v>
      </c>
      <c r="C385" s="102">
        <v>2</v>
      </c>
      <c r="D385" s="118">
        <v>0.0011074983101068089</v>
      </c>
      <c r="E385" s="118">
        <v>2.8959134129827673</v>
      </c>
      <c r="F385" s="102" t="s">
        <v>3110</v>
      </c>
      <c r="G385" s="102" t="b">
        <v>0</v>
      </c>
      <c r="H385" s="102" t="b">
        <v>0</v>
      </c>
      <c r="I385" s="102" t="b">
        <v>0</v>
      </c>
      <c r="J385" s="102" t="b">
        <v>0</v>
      </c>
      <c r="K385" s="102" t="b">
        <v>0</v>
      </c>
      <c r="L385" s="102" t="b">
        <v>0</v>
      </c>
    </row>
    <row r="386" spans="1:12" ht="15">
      <c r="A386" s="97" t="s">
        <v>2832</v>
      </c>
      <c r="B386" s="102" t="s">
        <v>2810</v>
      </c>
      <c r="C386" s="102">
        <v>2</v>
      </c>
      <c r="D386" s="118">
        <v>0.0011074983101068089</v>
      </c>
      <c r="E386" s="118">
        <v>2.7709746763744674</v>
      </c>
      <c r="F386" s="102" t="s">
        <v>3110</v>
      </c>
      <c r="G386" s="102" t="b">
        <v>0</v>
      </c>
      <c r="H386" s="102" t="b">
        <v>0</v>
      </c>
      <c r="I386" s="102" t="b">
        <v>0</v>
      </c>
      <c r="J386" s="102" t="b">
        <v>0</v>
      </c>
      <c r="K386" s="102" t="b">
        <v>0</v>
      </c>
      <c r="L386" s="102" t="b">
        <v>0</v>
      </c>
    </row>
    <row r="387" spans="1:12" ht="15">
      <c r="A387" s="97" t="s">
        <v>2810</v>
      </c>
      <c r="B387" s="102" t="s">
        <v>2744</v>
      </c>
      <c r="C387" s="102">
        <v>2</v>
      </c>
      <c r="D387" s="118">
        <v>0.0011074983101068089</v>
      </c>
      <c r="E387" s="118">
        <v>2.469944680710486</v>
      </c>
      <c r="F387" s="102" t="s">
        <v>3110</v>
      </c>
      <c r="G387" s="102" t="b">
        <v>0</v>
      </c>
      <c r="H387" s="102" t="b">
        <v>0</v>
      </c>
      <c r="I387" s="102" t="b">
        <v>0</v>
      </c>
      <c r="J387" s="102" t="b">
        <v>0</v>
      </c>
      <c r="K387" s="102" t="b">
        <v>0</v>
      </c>
      <c r="L387" s="102" t="b">
        <v>0</v>
      </c>
    </row>
    <row r="388" spans="1:12" ht="15">
      <c r="A388" s="97" t="s">
        <v>390</v>
      </c>
      <c r="B388" s="102" t="s">
        <v>389</v>
      </c>
      <c r="C388" s="102">
        <v>2</v>
      </c>
      <c r="D388" s="118">
        <v>0.0011074983101068089</v>
      </c>
      <c r="E388" s="118">
        <v>2.850155922422092</v>
      </c>
      <c r="F388" s="102" t="s">
        <v>3110</v>
      </c>
      <c r="G388" s="102" t="b">
        <v>0</v>
      </c>
      <c r="H388" s="102" t="b">
        <v>0</v>
      </c>
      <c r="I388" s="102" t="b">
        <v>0</v>
      </c>
      <c r="J388" s="102" t="b">
        <v>0</v>
      </c>
      <c r="K388" s="102" t="b">
        <v>0</v>
      </c>
      <c r="L388" s="102" t="b">
        <v>0</v>
      </c>
    </row>
    <row r="389" spans="1:12" ht="15">
      <c r="A389" s="97" t="s">
        <v>389</v>
      </c>
      <c r="B389" s="102" t="s">
        <v>388</v>
      </c>
      <c r="C389" s="102">
        <v>2</v>
      </c>
      <c r="D389" s="118">
        <v>0.0011074983101068089</v>
      </c>
      <c r="E389" s="118">
        <v>2.850155922422092</v>
      </c>
      <c r="F389" s="102" t="s">
        <v>3110</v>
      </c>
      <c r="G389" s="102" t="b">
        <v>0</v>
      </c>
      <c r="H389" s="102" t="b">
        <v>0</v>
      </c>
      <c r="I389" s="102" t="b">
        <v>0</v>
      </c>
      <c r="J389" s="102" t="b">
        <v>0</v>
      </c>
      <c r="K389" s="102" t="b">
        <v>0</v>
      </c>
      <c r="L389" s="102" t="b">
        <v>0</v>
      </c>
    </row>
    <row r="390" spans="1:12" ht="15">
      <c r="A390" s="97" t="s">
        <v>388</v>
      </c>
      <c r="B390" s="102" t="s">
        <v>387</v>
      </c>
      <c r="C390" s="102">
        <v>2</v>
      </c>
      <c r="D390" s="118">
        <v>0.0011074983101068089</v>
      </c>
      <c r="E390" s="118">
        <v>2.850155922422092</v>
      </c>
      <c r="F390" s="102" t="s">
        <v>3110</v>
      </c>
      <c r="G390" s="102" t="b">
        <v>0</v>
      </c>
      <c r="H390" s="102" t="b">
        <v>0</v>
      </c>
      <c r="I390" s="102" t="b">
        <v>0</v>
      </c>
      <c r="J390" s="102" t="b">
        <v>0</v>
      </c>
      <c r="K390" s="102" t="b">
        <v>0</v>
      </c>
      <c r="L390" s="102" t="b">
        <v>0</v>
      </c>
    </row>
    <row r="391" spans="1:12" ht="15">
      <c r="A391" s="97" t="s">
        <v>2742</v>
      </c>
      <c r="B391" s="102" t="s">
        <v>3092</v>
      </c>
      <c r="C391" s="102">
        <v>2</v>
      </c>
      <c r="D391" s="118">
        <v>0.0011074983101068089</v>
      </c>
      <c r="E391" s="118">
        <v>2.7709746763744674</v>
      </c>
      <c r="F391" s="102" t="s">
        <v>3110</v>
      </c>
      <c r="G391" s="102" t="b">
        <v>0</v>
      </c>
      <c r="H391" s="102" t="b">
        <v>0</v>
      </c>
      <c r="I391" s="102" t="b">
        <v>0</v>
      </c>
      <c r="J391" s="102" t="b">
        <v>0</v>
      </c>
      <c r="K391" s="102" t="b">
        <v>0</v>
      </c>
      <c r="L391" s="102" t="b">
        <v>0</v>
      </c>
    </row>
    <row r="392" spans="1:12" ht="15">
      <c r="A392" s="97" t="s">
        <v>3092</v>
      </c>
      <c r="B392" s="102" t="s">
        <v>3093</v>
      </c>
      <c r="C392" s="102">
        <v>2</v>
      </c>
      <c r="D392" s="118">
        <v>0.0011074983101068089</v>
      </c>
      <c r="E392" s="118">
        <v>3.24809593109413</v>
      </c>
      <c r="F392" s="102" t="s">
        <v>3110</v>
      </c>
      <c r="G392" s="102" t="b">
        <v>0</v>
      </c>
      <c r="H392" s="102" t="b">
        <v>0</v>
      </c>
      <c r="I392" s="102" t="b">
        <v>0</v>
      </c>
      <c r="J392" s="102" t="b">
        <v>0</v>
      </c>
      <c r="K392" s="102" t="b">
        <v>0</v>
      </c>
      <c r="L392" s="102" t="b">
        <v>0</v>
      </c>
    </row>
    <row r="393" spans="1:12" ht="15">
      <c r="A393" s="97" t="s">
        <v>3093</v>
      </c>
      <c r="B393" s="102" t="s">
        <v>3094</v>
      </c>
      <c r="C393" s="102">
        <v>2</v>
      </c>
      <c r="D393" s="118">
        <v>0.0011074983101068089</v>
      </c>
      <c r="E393" s="118">
        <v>3.24809593109413</v>
      </c>
      <c r="F393" s="102" t="s">
        <v>3110</v>
      </c>
      <c r="G393" s="102" t="b">
        <v>0</v>
      </c>
      <c r="H393" s="102" t="b">
        <v>0</v>
      </c>
      <c r="I393" s="102" t="b">
        <v>0</v>
      </c>
      <c r="J393" s="102" t="b">
        <v>0</v>
      </c>
      <c r="K393" s="102" t="b">
        <v>0</v>
      </c>
      <c r="L393" s="102" t="b">
        <v>0</v>
      </c>
    </row>
    <row r="394" spans="1:12" ht="15">
      <c r="A394" s="97" t="s">
        <v>3094</v>
      </c>
      <c r="B394" s="102" t="s">
        <v>3095</v>
      </c>
      <c r="C394" s="102">
        <v>2</v>
      </c>
      <c r="D394" s="118">
        <v>0.0011074983101068089</v>
      </c>
      <c r="E394" s="118">
        <v>3.24809593109413</v>
      </c>
      <c r="F394" s="102" t="s">
        <v>3110</v>
      </c>
      <c r="G394" s="102" t="b">
        <v>0</v>
      </c>
      <c r="H394" s="102" t="b">
        <v>0</v>
      </c>
      <c r="I394" s="102" t="b">
        <v>0</v>
      </c>
      <c r="J394" s="102" t="b">
        <v>0</v>
      </c>
      <c r="K394" s="102" t="b">
        <v>0</v>
      </c>
      <c r="L394" s="102" t="b">
        <v>0</v>
      </c>
    </row>
    <row r="395" spans="1:12" ht="15">
      <c r="A395" s="97" t="s">
        <v>3095</v>
      </c>
      <c r="B395" s="102" t="s">
        <v>3096</v>
      </c>
      <c r="C395" s="102">
        <v>2</v>
      </c>
      <c r="D395" s="118">
        <v>0.0011074983101068089</v>
      </c>
      <c r="E395" s="118">
        <v>3.24809593109413</v>
      </c>
      <c r="F395" s="102" t="s">
        <v>3110</v>
      </c>
      <c r="G395" s="102" t="b">
        <v>0</v>
      </c>
      <c r="H395" s="102" t="b">
        <v>0</v>
      </c>
      <c r="I395" s="102" t="b">
        <v>0</v>
      </c>
      <c r="J395" s="102" t="b">
        <v>0</v>
      </c>
      <c r="K395" s="102" t="b">
        <v>0</v>
      </c>
      <c r="L395" s="102" t="b">
        <v>0</v>
      </c>
    </row>
    <row r="396" spans="1:12" ht="15">
      <c r="A396" s="97" t="s">
        <v>3096</v>
      </c>
      <c r="B396" s="102" t="s">
        <v>3097</v>
      </c>
      <c r="C396" s="102">
        <v>2</v>
      </c>
      <c r="D396" s="118">
        <v>0.0011074983101068089</v>
      </c>
      <c r="E396" s="118">
        <v>3.24809593109413</v>
      </c>
      <c r="F396" s="102" t="s">
        <v>3110</v>
      </c>
      <c r="G396" s="102" t="b">
        <v>0</v>
      </c>
      <c r="H396" s="102" t="b">
        <v>0</v>
      </c>
      <c r="I396" s="102" t="b">
        <v>0</v>
      </c>
      <c r="J396" s="102" t="b">
        <v>0</v>
      </c>
      <c r="K396" s="102" t="b">
        <v>0</v>
      </c>
      <c r="L396" s="102" t="b">
        <v>0</v>
      </c>
    </row>
    <row r="397" spans="1:12" ht="15">
      <c r="A397" s="97" t="s">
        <v>3097</v>
      </c>
      <c r="B397" s="102" t="s">
        <v>3098</v>
      </c>
      <c r="C397" s="102">
        <v>2</v>
      </c>
      <c r="D397" s="118">
        <v>0.0011074983101068089</v>
      </c>
      <c r="E397" s="118">
        <v>3.24809593109413</v>
      </c>
      <c r="F397" s="102" t="s">
        <v>3110</v>
      </c>
      <c r="G397" s="102" t="b">
        <v>0</v>
      </c>
      <c r="H397" s="102" t="b">
        <v>0</v>
      </c>
      <c r="I397" s="102" t="b">
        <v>0</v>
      </c>
      <c r="J397" s="102" t="b">
        <v>0</v>
      </c>
      <c r="K397" s="102" t="b">
        <v>0</v>
      </c>
      <c r="L397" s="102" t="b">
        <v>0</v>
      </c>
    </row>
    <row r="398" spans="1:12" ht="15">
      <c r="A398" s="97" t="s">
        <v>3098</v>
      </c>
      <c r="B398" s="102" t="s">
        <v>3099</v>
      </c>
      <c r="C398" s="102">
        <v>2</v>
      </c>
      <c r="D398" s="118">
        <v>0.0011074983101068089</v>
      </c>
      <c r="E398" s="118">
        <v>3.24809593109413</v>
      </c>
      <c r="F398" s="102" t="s">
        <v>3110</v>
      </c>
      <c r="G398" s="102" t="b">
        <v>0</v>
      </c>
      <c r="H398" s="102" t="b">
        <v>0</v>
      </c>
      <c r="I398" s="102" t="b">
        <v>0</v>
      </c>
      <c r="J398" s="102" t="b">
        <v>0</v>
      </c>
      <c r="K398" s="102" t="b">
        <v>0</v>
      </c>
      <c r="L398" s="102" t="b">
        <v>0</v>
      </c>
    </row>
    <row r="399" spans="1:12" ht="15">
      <c r="A399" s="97" t="s">
        <v>3099</v>
      </c>
      <c r="B399" s="102" t="s">
        <v>3100</v>
      </c>
      <c r="C399" s="102">
        <v>2</v>
      </c>
      <c r="D399" s="118">
        <v>0.0011074983101068089</v>
      </c>
      <c r="E399" s="118">
        <v>3.24809593109413</v>
      </c>
      <c r="F399" s="102" t="s">
        <v>3110</v>
      </c>
      <c r="G399" s="102" t="b">
        <v>0</v>
      </c>
      <c r="H399" s="102" t="b">
        <v>0</v>
      </c>
      <c r="I399" s="102" t="b">
        <v>0</v>
      </c>
      <c r="J399" s="102" t="b">
        <v>0</v>
      </c>
      <c r="K399" s="102" t="b">
        <v>0</v>
      </c>
      <c r="L399" s="102" t="b">
        <v>0</v>
      </c>
    </row>
    <row r="400" spans="1:12" ht="15">
      <c r="A400" s="97" t="s">
        <v>3100</v>
      </c>
      <c r="B400" s="102" t="s">
        <v>2765</v>
      </c>
      <c r="C400" s="102">
        <v>2</v>
      </c>
      <c r="D400" s="118">
        <v>0.0011074983101068089</v>
      </c>
      <c r="E400" s="118">
        <v>2.9470659354301487</v>
      </c>
      <c r="F400" s="102" t="s">
        <v>3110</v>
      </c>
      <c r="G400" s="102" t="b">
        <v>0</v>
      </c>
      <c r="H400" s="102" t="b">
        <v>0</v>
      </c>
      <c r="I400" s="102" t="b">
        <v>0</v>
      </c>
      <c r="J400" s="102" t="b">
        <v>0</v>
      </c>
      <c r="K400" s="102" t="b">
        <v>0</v>
      </c>
      <c r="L400" s="102" t="b">
        <v>0</v>
      </c>
    </row>
    <row r="401" spans="1:12" ht="15">
      <c r="A401" s="97" t="s">
        <v>2765</v>
      </c>
      <c r="B401" s="102" t="s">
        <v>2662</v>
      </c>
      <c r="C401" s="102">
        <v>2</v>
      </c>
      <c r="D401" s="118">
        <v>0.0011074983101068089</v>
      </c>
      <c r="E401" s="118">
        <v>1.7295819912162425</v>
      </c>
      <c r="F401" s="102" t="s">
        <v>3110</v>
      </c>
      <c r="G401" s="102" t="b">
        <v>0</v>
      </c>
      <c r="H401" s="102" t="b">
        <v>0</v>
      </c>
      <c r="I401" s="102" t="b">
        <v>0</v>
      </c>
      <c r="J401" s="102" t="b">
        <v>0</v>
      </c>
      <c r="K401" s="102" t="b">
        <v>0</v>
      </c>
      <c r="L401" s="102" t="b">
        <v>0</v>
      </c>
    </row>
    <row r="402" spans="1:12" ht="15">
      <c r="A402" s="97" t="s">
        <v>2662</v>
      </c>
      <c r="B402" s="102" t="s">
        <v>2851</v>
      </c>
      <c r="C402" s="102">
        <v>2</v>
      </c>
      <c r="D402" s="118">
        <v>0.0011074983101068089</v>
      </c>
      <c r="E402" s="118">
        <v>1.8678846893825238</v>
      </c>
      <c r="F402" s="102" t="s">
        <v>3110</v>
      </c>
      <c r="G402" s="102" t="b">
        <v>0</v>
      </c>
      <c r="H402" s="102" t="b">
        <v>0</v>
      </c>
      <c r="I402" s="102" t="b">
        <v>0</v>
      </c>
      <c r="J402" s="102" t="b">
        <v>0</v>
      </c>
      <c r="K402" s="102" t="b">
        <v>0</v>
      </c>
      <c r="L402" s="102" t="b">
        <v>0</v>
      </c>
    </row>
    <row r="403" spans="1:12" ht="15">
      <c r="A403" s="97" t="s">
        <v>2852</v>
      </c>
      <c r="B403" s="102" t="s">
        <v>2874</v>
      </c>
      <c r="C403" s="102">
        <v>2</v>
      </c>
      <c r="D403" s="118">
        <v>0.0011074983101068089</v>
      </c>
      <c r="E403" s="118">
        <v>3.0720046720384486</v>
      </c>
      <c r="F403" s="102" t="s">
        <v>3110</v>
      </c>
      <c r="G403" s="102" t="b">
        <v>0</v>
      </c>
      <c r="H403" s="102" t="b">
        <v>0</v>
      </c>
      <c r="I403" s="102" t="b">
        <v>0</v>
      </c>
      <c r="J403" s="102" t="b">
        <v>0</v>
      </c>
      <c r="K403" s="102" t="b">
        <v>0</v>
      </c>
      <c r="L403" s="102" t="b">
        <v>0</v>
      </c>
    </row>
    <row r="404" spans="1:12" ht="15">
      <c r="A404" s="97" t="s">
        <v>2874</v>
      </c>
      <c r="B404" s="102" t="s">
        <v>2754</v>
      </c>
      <c r="C404" s="102">
        <v>2</v>
      </c>
      <c r="D404" s="118">
        <v>0.0011074983101068089</v>
      </c>
      <c r="E404" s="118">
        <v>2.674064663366411</v>
      </c>
      <c r="F404" s="102" t="s">
        <v>3110</v>
      </c>
      <c r="G404" s="102" t="b">
        <v>0</v>
      </c>
      <c r="H404" s="102" t="b">
        <v>0</v>
      </c>
      <c r="I404" s="102" t="b">
        <v>0</v>
      </c>
      <c r="J404" s="102" t="b">
        <v>0</v>
      </c>
      <c r="K404" s="102" t="b">
        <v>0</v>
      </c>
      <c r="L404" s="102" t="b">
        <v>0</v>
      </c>
    </row>
    <row r="405" spans="1:12" ht="15">
      <c r="A405" s="97" t="s">
        <v>2754</v>
      </c>
      <c r="B405" s="102" t="s">
        <v>3101</v>
      </c>
      <c r="C405" s="102">
        <v>2</v>
      </c>
      <c r="D405" s="118">
        <v>0.0011074983101068089</v>
      </c>
      <c r="E405" s="118">
        <v>2.850155922422092</v>
      </c>
      <c r="F405" s="102" t="s">
        <v>3110</v>
      </c>
      <c r="G405" s="102" t="b">
        <v>0</v>
      </c>
      <c r="H405" s="102" t="b">
        <v>0</v>
      </c>
      <c r="I405" s="102" t="b">
        <v>0</v>
      </c>
      <c r="J405" s="102" t="b">
        <v>0</v>
      </c>
      <c r="K405" s="102" t="b">
        <v>0</v>
      </c>
      <c r="L405" s="102" t="b">
        <v>0</v>
      </c>
    </row>
    <row r="406" spans="1:12" ht="15">
      <c r="A406" s="97" t="s">
        <v>3101</v>
      </c>
      <c r="B406" s="102" t="s">
        <v>3102</v>
      </c>
      <c r="C406" s="102">
        <v>2</v>
      </c>
      <c r="D406" s="118">
        <v>0.0011074983101068089</v>
      </c>
      <c r="E406" s="118">
        <v>3.24809593109413</v>
      </c>
      <c r="F406" s="102" t="s">
        <v>3110</v>
      </c>
      <c r="G406" s="102" t="b">
        <v>0</v>
      </c>
      <c r="H406" s="102" t="b">
        <v>0</v>
      </c>
      <c r="I406" s="102" t="b">
        <v>0</v>
      </c>
      <c r="J406" s="102" t="b">
        <v>0</v>
      </c>
      <c r="K406" s="102" t="b">
        <v>0</v>
      </c>
      <c r="L406" s="102" t="b">
        <v>0</v>
      </c>
    </row>
    <row r="407" spans="1:12" ht="15">
      <c r="A407" s="97" t="s">
        <v>3102</v>
      </c>
      <c r="B407" s="102" t="s">
        <v>2850</v>
      </c>
      <c r="C407" s="102">
        <v>2</v>
      </c>
      <c r="D407" s="118">
        <v>0.0011074983101068089</v>
      </c>
      <c r="E407" s="118">
        <v>3.0720046720384486</v>
      </c>
      <c r="F407" s="102" t="s">
        <v>3110</v>
      </c>
      <c r="G407" s="102" t="b">
        <v>0</v>
      </c>
      <c r="H407" s="102" t="b">
        <v>0</v>
      </c>
      <c r="I407" s="102" t="b">
        <v>0</v>
      </c>
      <c r="J407" s="102" t="b">
        <v>0</v>
      </c>
      <c r="K407" s="102" t="b">
        <v>0</v>
      </c>
      <c r="L407" s="102" t="b">
        <v>0</v>
      </c>
    </row>
    <row r="408" spans="1:12" ht="15">
      <c r="A408" s="97" t="s">
        <v>2850</v>
      </c>
      <c r="B408" s="102" t="s">
        <v>3103</v>
      </c>
      <c r="C408" s="102">
        <v>2</v>
      </c>
      <c r="D408" s="118">
        <v>0.0011074983101068089</v>
      </c>
      <c r="E408" s="118">
        <v>3.0720046720384486</v>
      </c>
      <c r="F408" s="102" t="s">
        <v>3110</v>
      </c>
      <c r="G408" s="102" t="b">
        <v>0</v>
      </c>
      <c r="H408" s="102" t="b">
        <v>0</v>
      </c>
      <c r="I408" s="102" t="b">
        <v>0</v>
      </c>
      <c r="J408" s="102" t="b">
        <v>0</v>
      </c>
      <c r="K408" s="102" t="b">
        <v>0</v>
      </c>
      <c r="L408" s="102" t="b">
        <v>0</v>
      </c>
    </row>
    <row r="409" spans="1:12" ht="15">
      <c r="A409" s="97" t="s">
        <v>3103</v>
      </c>
      <c r="B409" s="102" t="s">
        <v>3104</v>
      </c>
      <c r="C409" s="102">
        <v>2</v>
      </c>
      <c r="D409" s="118">
        <v>0.0011074983101068089</v>
      </c>
      <c r="E409" s="118">
        <v>3.24809593109413</v>
      </c>
      <c r="F409" s="102" t="s">
        <v>3110</v>
      </c>
      <c r="G409" s="102" t="b">
        <v>0</v>
      </c>
      <c r="H409" s="102" t="b">
        <v>0</v>
      </c>
      <c r="I409" s="102" t="b">
        <v>0</v>
      </c>
      <c r="J409" s="102" t="b">
        <v>0</v>
      </c>
      <c r="K409" s="102" t="b">
        <v>0</v>
      </c>
      <c r="L409" s="102" t="b">
        <v>0</v>
      </c>
    </row>
    <row r="410" spans="1:12" ht="15">
      <c r="A410" s="97" t="s">
        <v>2666</v>
      </c>
      <c r="B410" s="102" t="s">
        <v>2664</v>
      </c>
      <c r="C410" s="102">
        <v>22</v>
      </c>
      <c r="D410" s="118">
        <v>0.011577646100370103</v>
      </c>
      <c r="E410" s="118">
        <v>1.5279812244568207</v>
      </c>
      <c r="F410" s="102" t="s">
        <v>2607</v>
      </c>
      <c r="G410" s="102" t="b">
        <v>0</v>
      </c>
      <c r="H410" s="102" t="b">
        <v>0</v>
      </c>
      <c r="I410" s="102" t="b">
        <v>0</v>
      </c>
      <c r="J410" s="102" t="b">
        <v>0</v>
      </c>
      <c r="K410" s="102" t="b">
        <v>0</v>
      </c>
      <c r="L410" s="102" t="b">
        <v>0</v>
      </c>
    </row>
    <row r="411" spans="1:12" ht="15">
      <c r="A411" s="97" t="s">
        <v>2664</v>
      </c>
      <c r="B411" s="102" t="s">
        <v>2667</v>
      </c>
      <c r="C411" s="102">
        <v>22</v>
      </c>
      <c r="D411" s="118">
        <v>0.011577646100370103</v>
      </c>
      <c r="E411" s="118">
        <v>1.5279812244568207</v>
      </c>
      <c r="F411" s="102" t="s">
        <v>2607</v>
      </c>
      <c r="G411" s="102" t="b">
        <v>0</v>
      </c>
      <c r="H411" s="102" t="b">
        <v>0</v>
      </c>
      <c r="I411" s="102" t="b">
        <v>0</v>
      </c>
      <c r="J411" s="102" t="b">
        <v>0</v>
      </c>
      <c r="K411" s="102" t="b">
        <v>0</v>
      </c>
      <c r="L411" s="102" t="b">
        <v>0</v>
      </c>
    </row>
    <row r="412" spans="1:12" ht="15">
      <c r="A412" s="97" t="s">
        <v>2667</v>
      </c>
      <c r="B412" s="102" t="s">
        <v>2663</v>
      </c>
      <c r="C412" s="102">
        <v>22</v>
      </c>
      <c r="D412" s="118">
        <v>0.011577646100370103</v>
      </c>
      <c r="E412" s="118">
        <v>1.5279812244568207</v>
      </c>
      <c r="F412" s="102" t="s">
        <v>2607</v>
      </c>
      <c r="G412" s="102" t="b">
        <v>0</v>
      </c>
      <c r="H412" s="102" t="b">
        <v>0</v>
      </c>
      <c r="I412" s="102" t="b">
        <v>0</v>
      </c>
      <c r="J412" s="102" t="b">
        <v>0</v>
      </c>
      <c r="K412" s="102" t="b">
        <v>0</v>
      </c>
      <c r="L412" s="102" t="b">
        <v>0</v>
      </c>
    </row>
    <row r="413" spans="1:12" ht="15">
      <c r="A413" s="97" t="s">
        <v>2669</v>
      </c>
      <c r="B413" s="102" t="s">
        <v>2670</v>
      </c>
      <c r="C413" s="102">
        <v>20</v>
      </c>
      <c r="D413" s="118">
        <v>0.011559949947473903</v>
      </c>
      <c r="E413" s="118">
        <v>1.5693739096150459</v>
      </c>
      <c r="F413" s="102" t="s">
        <v>2607</v>
      </c>
      <c r="G413" s="102" t="b">
        <v>0</v>
      </c>
      <c r="H413" s="102" t="b">
        <v>0</v>
      </c>
      <c r="I413" s="102" t="b">
        <v>0</v>
      </c>
      <c r="J413" s="102" t="b">
        <v>0</v>
      </c>
      <c r="K413" s="102" t="b">
        <v>0</v>
      </c>
      <c r="L413" s="102" t="b">
        <v>0</v>
      </c>
    </row>
    <row r="414" spans="1:12" ht="15">
      <c r="A414" s="97" t="s">
        <v>2670</v>
      </c>
      <c r="B414" s="102" t="s">
        <v>2671</v>
      </c>
      <c r="C414" s="102">
        <v>20</v>
      </c>
      <c r="D414" s="118">
        <v>0.011559949947473903</v>
      </c>
      <c r="E414" s="118">
        <v>1.5693739096150459</v>
      </c>
      <c r="F414" s="102" t="s">
        <v>2607</v>
      </c>
      <c r="G414" s="102" t="b">
        <v>0</v>
      </c>
      <c r="H414" s="102" t="b">
        <v>0</v>
      </c>
      <c r="I414" s="102" t="b">
        <v>0</v>
      </c>
      <c r="J414" s="102" t="b">
        <v>0</v>
      </c>
      <c r="K414" s="102" t="b">
        <v>0</v>
      </c>
      <c r="L414" s="102" t="b">
        <v>0</v>
      </c>
    </row>
    <row r="415" spans="1:12" ht="15">
      <c r="A415" s="97" t="s">
        <v>2671</v>
      </c>
      <c r="B415" s="102" t="s">
        <v>2666</v>
      </c>
      <c r="C415" s="102">
        <v>20</v>
      </c>
      <c r="D415" s="118">
        <v>0.011559949947473903</v>
      </c>
      <c r="E415" s="118">
        <v>1.5279812244568207</v>
      </c>
      <c r="F415" s="102" t="s">
        <v>2607</v>
      </c>
      <c r="G415" s="102" t="b">
        <v>0</v>
      </c>
      <c r="H415" s="102" t="b">
        <v>0</v>
      </c>
      <c r="I415" s="102" t="b">
        <v>0</v>
      </c>
      <c r="J415" s="102" t="b">
        <v>0</v>
      </c>
      <c r="K415" s="102" t="b">
        <v>0</v>
      </c>
      <c r="L415" s="102" t="b">
        <v>0</v>
      </c>
    </row>
    <row r="416" spans="1:12" ht="15">
      <c r="A416" s="97" t="s">
        <v>2668</v>
      </c>
      <c r="B416" s="102" t="s">
        <v>2672</v>
      </c>
      <c r="C416" s="102">
        <v>20</v>
      </c>
      <c r="D416" s="118">
        <v>0.011559949947473903</v>
      </c>
      <c r="E416" s="118">
        <v>1.5279812244568207</v>
      </c>
      <c r="F416" s="102" t="s">
        <v>2607</v>
      </c>
      <c r="G416" s="102" t="b">
        <v>0</v>
      </c>
      <c r="H416" s="102" t="b">
        <v>0</v>
      </c>
      <c r="I416" s="102" t="b">
        <v>0</v>
      </c>
      <c r="J416" s="102" t="b">
        <v>0</v>
      </c>
      <c r="K416" s="102" t="b">
        <v>0</v>
      </c>
      <c r="L416" s="102" t="b">
        <v>0</v>
      </c>
    </row>
    <row r="417" spans="1:12" ht="15">
      <c r="A417" s="97" t="s">
        <v>2672</v>
      </c>
      <c r="B417" s="102" t="s">
        <v>2665</v>
      </c>
      <c r="C417" s="102">
        <v>20</v>
      </c>
      <c r="D417" s="118">
        <v>0.011559949947473903</v>
      </c>
      <c r="E417" s="118">
        <v>1.5481846105451078</v>
      </c>
      <c r="F417" s="102" t="s">
        <v>2607</v>
      </c>
      <c r="G417" s="102" t="b">
        <v>0</v>
      </c>
      <c r="H417" s="102" t="b">
        <v>0</v>
      </c>
      <c r="I417" s="102" t="b">
        <v>0</v>
      </c>
      <c r="J417" s="102" t="b">
        <v>0</v>
      </c>
      <c r="K417" s="102" t="b">
        <v>0</v>
      </c>
      <c r="L417" s="102" t="b">
        <v>0</v>
      </c>
    </row>
    <row r="418" spans="1:12" ht="15">
      <c r="A418" s="97" t="s">
        <v>2663</v>
      </c>
      <c r="B418" s="102" t="s">
        <v>712</v>
      </c>
      <c r="C418" s="102">
        <v>15</v>
      </c>
      <c r="D418" s="118">
        <v>0.011012563772011052</v>
      </c>
      <c r="E418" s="118">
        <v>1.0808231931146015</v>
      </c>
      <c r="F418" s="102" t="s">
        <v>2607</v>
      </c>
      <c r="G418" s="102" t="b">
        <v>0</v>
      </c>
      <c r="H418" s="102" t="b">
        <v>0</v>
      </c>
      <c r="I418" s="102" t="b">
        <v>0</v>
      </c>
      <c r="J418" s="102" t="b">
        <v>0</v>
      </c>
      <c r="K418" s="102" t="b">
        <v>0</v>
      </c>
      <c r="L418" s="102" t="b">
        <v>0</v>
      </c>
    </row>
    <row r="419" spans="1:12" ht="15">
      <c r="A419" s="97" t="s">
        <v>712</v>
      </c>
      <c r="B419" s="102" t="s">
        <v>2668</v>
      </c>
      <c r="C419" s="102">
        <v>13</v>
      </c>
      <c r="D419" s="118">
        <v>0.010554125420411634</v>
      </c>
      <c r="E419" s="118">
        <v>0.9791667450820836</v>
      </c>
      <c r="F419" s="102" t="s">
        <v>2607</v>
      </c>
      <c r="G419" s="102" t="b">
        <v>0</v>
      </c>
      <c r="H419" s="102" t="b">
        <v>0</v>
      </c>
      <c r="I419" s="102" t="b">
        <v>0</v>
      </c>
      <c r="J419" s="102" t="b">
        <v>0</v>
      </c>
      <c r="K419" s="102" t="b">
        <v>0</v>
      </c>
      <c r="L419" s="102" t="b">
        <v>0</v>
      </c>
    </row>
    <row r="420" spans="1:12" ht="15">
      <c r="A420" s="97" t="s">
        <v>712</v>
      </c>
      <c r="B420" s="102" t="s">
        <v>2661</v>
      </c>
      <c r="C420" s="102">
        <v>8</v>
      </c>
      <c r="D420" s="118">
        <v>0.008603380065709937</v>
      </c>
      <c r="E420" s="118">
        <v>1.1107360605893966</v>
      </c>
      <c r="F420" s="102" t="s">
        <v>2607</v>
      </c>
      <c r="G420" s="102" t="b">
        <v>0</v>
      </c>
      <c r="H420" s="102" t="b">
        <v>0</v>
      </c>
      <c r="I420" s="102" t="b">
        <v>0</v>
      </c>
      <c r="J420" s="102" t="b">
        <v>0</v>
      </c>
      <c r="K420" s="102" t="b">
        <v>0</v>
      </c>
      <c r="L420" s="102" t="b">
        <v>0</v>
      </c>
    </row>
    <row r="421" spans="1:12" ht="15">
      <c r="A421" s="97" t="s">
        <v>2661</v>
      </c>
      <c r="B421" s="102" t="s">
        <v>2660</v>
      </c>
      <c r="C421" s="102">
        <v>8</v>
      </c>
      <c r="D421" s="118">
        <v>0.008603380065709937</v>
      </c>
      <c r="E421" s="118">
        <v>1.7321012071127455</v>
      </c>
      <c r="F421" s="102" t="s">
        <v>2607</v>
      </c>
      <c r="G421" s="102" t="b">
        <v>0</v>
      </c>
      <c r="H421" s="102" t="b">
        <v>0</v>
      </c>
      <c r="I421" s="102" t="b">
        <v>0</v>
      </c>
      <c r="J421" s="102" t="b">
        <v>0</v>
      </c>
      <c r="K421" s="102" t="b">
        <v>0</v>
      </c>
      <c r="L421" s="102" t="b">
        <v>0</v>
      </c>
    </row>
    <row r="422" spans="1:12" ht="15">
      <c r="A422" s="97" t="s">
        <v>2660</v>
      </c>
      <c r="B422" s="102" t="s">
        <v>2673</v>
      </c>
      <c r="C422" s="102">
        <v>8</v>
      </c>
      <c r="D422" s="118">
        <v>0.008603380065709937</v>
      </c>
      <c r="E422" s="118">
        <v>1.7778586976734208</v>
      </c>
      <c r="F422" s="102" t="s">
        <v>2607</v>
      </c>
      <c r="G422" s="102" t="b">
        <v>0</v>
      </c>
      <c r="H422" s="102" t="b">
        <v>0</v>
      </c>
      <c r="I422" s="102" t="b">
        <v>0</v>
      </c>
      <c r="J422" s="102" t="b">
        <v>0</v>
      </c>
      <c r="K422" s="102" t="b">
        <v>0</v>
      </c>
      <c r="L422" s="102" t="b">
        <v>0</v>
      </c>
    </row>
    <row r="423" spans="1:12" ht="15">
      <c r="A423" s="97" t="s">
        <v>2673</v>
      </c>
      <c r="B423" s="102" t="s">
        <v>2683</v>
      </c>
      <c r="C423" s="102">
        <v>8</v>
      </c>
      <c r="D423" s="118">
        <v>0.008603380065709937</v>
      </c>
      <c r="E423" s="118">
        <v>1.9161613958397021</v>
      </c>
      <c r="F423" s="102" t="s">
        <v>2607</v>
      </c>
      <c r="G423" s="102" t="b">
        <v>0</v>
      </c>
      <c r="H423" s="102" t="b">
        <v>0</v>
      </c>
      <c r="I423" s="102" t="b">
        <v>0</v>
      </c>
      <c r="J423" s="102" t="b">
        <v>0</v>
      </c>
      <c r="K423" s="102" t="b">
        <v>0</v>
      </c>
      <c r="L423" s="102" t="b">
        <v>0</v>
      </c>
    </row>
    <row r="424" spans="1:12" ht="15">
      <c r="A424" s="97" t="s">
        <v>2663</v>
      </c>
      <c r="B424" s="102" t="s">
        <v>2662</v>
      </c>
      <c r="C424" s="102">
        <v>7</v>
      </c>
      <c r="D424" s="118">
        <v>0.008035387093550955</v>
      </c>
      <c r="E424" s="118">
        <v>1.4188367550317529</v>
      </c>
      <c r="F424" s="102" t="s">
        <v>2607</v>
      </c>
      <c r="G424" s="102" t="b">
        <v>0</v>
      </c>
      <c r="H424" s="102" t="b">
        <v>0</v>
      </c>
      <c r="I424" s="102" t="b">
        <v>0</v>
      </c>
      <c r="J424" s="102" t="b">
        <v>0</v>
      </c>
      <c r="K424" s="102" t="b">
        <v>0</v>
      </c>
      <c r="L424" s="102" t="b">
        <v>0</v>
      </c>
    </row>
    <row r="425" spans="1:12" ht="15">
      <c r="A425" s="97" t="s">
        <v>2662</v>
      </c>
      <c r="B425" s="102" t="s">
        <v>2668</v>
      </c>
      <c r="C425" s="102">
        <v>7</v>
      </c>
      <c r="D425" s="118">
        <v>0.008035387093550955</v>
      </c>
      <c r="E425" s="118">
        <v>1.469989277479134</v>
      </c>
      <c r="F425" s="102" t="s">
        <v>2607</v>
      </c>
      <c r="G425" s="102" t="b">
        <v>0</v>
      </c>
      <c r="H425" s="102" t="b">
        <v>0</v>
      </c>
      <c r="I425" s="102" t="b">
        <v>0</v>
      </c>
      <c r="J425" s="102" t="b">
        <v>0</v>
      </c>
      <c r="K425" s="102" t="b">
        <v>0</v>
      </c>
      <c r="L425" s="102" t="b">
        <v>0</v>
      </c>
    </row>
    <row r="426" spans="1:12" ht="15">
      <c r="A426" s="97" t="s">
        <v>338</v>
      </c>
      <c r="B426" s="102" t="s">
        <v>2719</v>
      </c>
      <c r="C426" s="102">
        <v>7</v>
      </c>
      <c r="D426" s="118">
        <v>0.008035387093550955</v>
      </c>
      <c r="E426" s="118">
        <v>1.6662839226231023</v>
      </c>
      <c r="F426" s="102" t="s">
        <v>2607</v>
      </c>
      <c r="G426" s="102" t="b">
        <v>0</v>
      </c>
      <c r="H426" s="102" t="b">
        <v>0</v>
      </c>
      <c r="I426" s="102" t="b">
        <v>0</v>
      </c>
      <c r="J426" s="102" t="b">
        <v>0</v>
      </c>
      <c r="K426" s="102" t="b">
        <v>0</v>
      </c>
      <c r="L426" s="102" t="b">
        <v>0</v>
      </c>
    </row>
    <row r="427" spans="1:12" ht="15">
      <c r="A427" s="97" t="s">
        <v>2719</v>
      </c>
      <c r="B427" s="102" t="s">
        <v>2682</v>
      </c>
      <c r="C427" s="102">
        <v>7</v>
      </c>
      <c r="D427" s="118">
        <v>0.008035387093550955</v>
      </c>
      <c r="E427" s="118">
        <v>2.0253058652647704</v>
      </c>
      <c r="F427" s="102" t="s">
        <v>2607</v>
      </c>
      <c r="G427" s="102" t="b">
        <v>0</v>
      </c>
      <c r="H427" s="102" t="b">
        <v>0</v>
      </c>
      <c r="I427" s="102" t="b">
        <v>0</v>
      </c>
      <c r="J427" s="102" t="b">
        <v>0</v>
      </c>
      <c r="K427" s="102" t="b">
        <v>0</v>
      </c>
      <c r="L427" s="102" t="b">
        <v>0</v>
      </c>
    </row>
    <row r="428" spans="1:12" ht="15">
      <c r="A428" s="97" t="s">
        <v>2682</v>
      </c>
      <c r="B428" s="102" t="s">
        <v>2720</v>
      </c>
      <c r="C428" s="102">
        <v>7</v>
      </c>
      <c r="D428" s="118">
        <v>0.008035387093550955</v>
      </c>
      <c r="E428" s="118">
        <v>2.0253058652647704</v>
      </c>
      <c r="F428" s="102" t="s">
        <v>2607</v>
      </c>
      <c r="G428" s="102" t="b">
        <v>0</v>
      </c>
      <c r="H428" s="102" t="b">
        <v>0</v>
      </c>
      <c r="I428" s="102" t="b">
        <v>0</v>
      </c>
      <c r="J428" s="102" t="b">
        <v>0</v>
      </c>
      <c r="K428" s="102" t="b">
        <v>0</v>
      </c>
      <c r="L428" s="102" t="b">
        <v>0</v>
      </c>
    </row>
    <row r="429" spans="1:12" ht="15">
      <c r="A429" s="97" t="s">
        <v>2720</v>
      </c>
      <c r="B429" s="102" t="s">
        <v>2721</v>
      </c>
      <c r="C429" s="102">
        <v>7</v>
      </c>
      <c r="D429" s="118">
        <v>0.008035387093550955</v>
      </c>
      <c r="E429" s="118">
        <v>2.0253058652647704</v>
      </c>
      <c r="F429" s="102" t="s">
        <v>2607</v>
      </c>
      <c r="G429" s="102" t="b">
        <v>0</v>
      </c>
      <c r="H429" s="102" t="b">
        <v>0</v>
      </c>
      <c r="I429" s="102" t="b">
        <v>0</v>
      </c>
      <c r="J429" s="102" t="b">
        <v>0</v>
      </c>
      <c r="K429" s="102" t="b">
        <v>0</v>
      </c>
      <c r="L429" s="102" t="b">
        <v>0</v>
      </c>
    </row>
    <row r="430" spans="1:12" ht="15">
      <c r="A430" s="97" t="s">
        <v>2721</v>
      </c>
      <c r="B430" s="102" t="s">
        <v>2722</v>
      </c>
      <c r="C430" s="102">
        <v>7</v>
      </c>
      <c r="D430" s="118">
        <v>0.008035387093550955</v>
      </c>
      <c r="E430" s="118">
        <v>2.0253058652647704</v>
      </c>
      <c r="F430" s="102" t="s">
        <v>2607</v>
      </c>
      <c r="G430" s="102" t="b">
        <v>0</v>
      </c>
      <c r="H430" s="102" t="b">
        <v>0</v>
      </c>
      <c r="I430" s="102" t="b">
        <v>0</v>
      </c>
      <c r="J430" s="102" t="b">
        <v>0</v>
      </c>
      <c r="K430" s="102" t="b">
        <v>0</v>
      </c>
      <c r="L430" s="102" t="b">
        <v>0</v>
      </c>
    </row>
    <row r="431" spans="1:12" ht="15">
      <c r="A431" s="97" t="s">
        <v>2722</v>
      </c>
      <c r="B431" s="102" t="s">
        <v>2723</v>
      </c>
      <c r="C431" s="102">
        <v>7</v>
      </c>
      <c r="D431" s="118">
        <v>0.008035387093550955</v>
      </c>
      <c r="E431" s="118">
        <v>2.0253058652647704</v>
      </c>
      <c r="F431" s="102" t="s">
        <v>2607</v>
      </c>
      <c r="G431" s="102" t="b">
        <v>0</v>
      </c>
      <c r="H431" s="102" t="b">
        <v>0</v>
      </c>
      <c r="I431" s="102" t="b">
        <v>0</v>
      </c>
      <c r="J431" s="102" t="b">
        <v>0</v>
      </c>
      <c r="K431" s="102" t="b">
        <v>0</v>
      </c>
      <c r="L431" s="102" t="b">
        <v>0</v>
      </c>
    </row>
    <row r="432" spans="1:12" ht="15">
      <c r="A432" s="97" t="s">
        <v>2723</v>
      </c>
      <c r="B432" s="102" t="s">
        <v>2724</v>
      </c>
      <c r="C432" s="102">
        <v>7</v>
      </c>
      <c r="D432" s="118">
        <v>0.008035387093550955</v>
      </c>
      <c r="E432" s="118">
        <v>2.0253058652647704</v>
      </c>
      <c r="F432" s="102" t="s">
        <v>2607</v>
      </c>
      <c r="G432" s="102" t="b">
        <v>0</v>
      </c>
      <c r="H432" s="102" t="b">
        <v>0</v>
      </c>
      <c r="I432" s="102" t="b">
        <v>0</v>
      </c>
      <c r="J432" s="102" t="b">
        <v>0</v>
      </c>
      <c r="K432" s="102" t="b">
        <v>0</v>
      </c>
      <c r="L432" s="102" t="b">
        <v>0</v>
      </c>
    </row>
    <row r="433" spans="1:12" ht="15">
      <c r="A433" s="97" t="s">
        <v>2724</v>
      </c>
      <c r="B433" s="102" t="s">
        <v>2725</v>
      </c>
      <c r="C433" s="102">
        <v>7</v>
      </c>
      <c r="D433" s="118">
        <v>0.008035387093550955</v>
      </c>
      <c r="E433" s="118">
        <v>2.0253058652647704</v>
      </c>
      <c r="F433" s="102" t="s">
        <v>2607</v>
      </c>
      <c r="G433" s="102" t="b">
        <v>0</v>
      </c>
      <c r="H433" s="102" t="b">
        <v>0</v>
      </c>
      <c r="I433" s="102" t="b">
        <v>0</v>
      </c>
      <c r="J433" s="102" t="b">
        <v>0</v>
      </c>
      <c r="K433" s="102" t="b">
        <v>0</v>
      </c>
      <c r="L433" s="102" t="b">
        <v>0</v>
      </c>
    </row>
    <row r="434" spans="1:12" ht="15">
      <c r="A434" s="97" t="s">
        <v>2725</v>
      </c>
      <c r="B434" s="102" t="s">
        <v>2669</v>
      </c>
      <c r="C434" s="102">
        <v>7</v>
      </c>
      <c r="D434" s="118">
        <v>0.008035387093550955</v>
      </c>
      <c r="E434" s="118">
        <v>1.7912226592314022</v>
      </c>
      <c r="F434" s="102" t="s">
        <v>2607</v>
      </c>
      <c r="G434" s="102" t="b">
        <v>0</v>
      </c>
      <c r="H434" s="102" t="b">
        <v>0</v>
      </c>
      <c r="I434" s="102" t="b">
        <v>0</v>
      </c>
      <c r="J434" s="102" t="b">
        <v>0</v>
      </c>
      <c r="K434" s="102" t="b">
        <v>0</v>
      </c>
      <c r="L434" s="102" t="b">
        <v>0</v>
      </c>
    </row>
    <row r="435" spans="1:12" ht="15">
      <c r="A435" s="97" t="s">
        <v>338</v>
      </c>
      <c r="B435" s="102" t="s">
        <v>2669</v>
      </c>
      <c r="C435" s="102">
        <v>5</v>
      </c>
      <c r="D435" s="118">
        <v>0.0066528624326682405</v>
      </c>
      <c r="E435" s="118">
        <v>1.2860726809114964</v>
      </c>
      <c r="F435" s="102" t="s">
        <v>2607</v>
      </c>
      <c r="G435" s="102" t="b">
        <v>0</v>
      </c>
      <c r="H435" s="102" t="b">
        <v>0</v>
      </c>
      <c r="I435" s="102" t="b">
        <v>0</v>
      </c>
      <c r="J435" s="102" t="b">
        <v>0</v>
      </c>
      <c r="K435" s="102" t="b">
        <v>0</v>
      </c>
      <c r="L435" s="102" t="b">
        <v>0</v>
      </c>
    </row>
    <row r="436" spans="1:12" ht="15">
      <c r="A436" s="97" t="s">
        <v>2665</v>
      </c>
      <c r="B436" s="102" t="s">
        <v>2755</v>
      </c>
      <c r="C436" s="102">
        <v>5</v>
      </c>
      <c r="D436" s="118">
        <v>0.0066528624326682405</v>
      </c>
      <c r="E436" s="118">
        <v>2.0922526548953835</v>
      </c>
      <c r="F436" s="102" t="s">
        <v>2607</v>
      </c>
      <c r="G436" s="102" t="b">
        <v>0</v>
      </c>
      <c r="H436" s="102" t="b">
        <v>0</v>
      </c>
      <c r="I436" s="102" t="b">
        <v>0</v>
      </c>
      <c r="J436" s="102" t="b">
        <v>0</v>
      </c>
      <c r="K436" s="102" t="b">
        <v>0</v>
      </c>
      <c r="L436" s="102" t="b">
        <v>0</v>
      </c>
    </row>
    <row r="437" spans="1:12" ht="15">
      <c r="A437" s="97" t="s">
        <v>2755</v>
      </c>
      <c r="B437" s="102" t="s">
        <v>2756</v>
      </c>
      <c r="C437" s="102">
        <v>5</v>
      </c>
      <c r="D437" s="118">
        <v>0.0066528624326682405</v>
      </c>
      <c r="E437" s="118">
        <v>2.171433900943008</v>
      </c>
      <c r="F437" s="102" t="s">
        <v>2607</v>
      </c>
      <c r="G437" s="102" t="b">
        <v>0</v>
      </c>
      <c r="H437" s="102" t="b">
        <v>0</v>
      </c>
      <c r="I437" s="102" t="b">
        <v>0</v>
      </c>
      <c r="J437" s="102" t="b">
        <v>0</v>
      </c>
      <c r="K437" s="102" t="b">
        <v>0</v>
      </c>
      <c r="L437" s="102" t="b">
        <v>0</v>
      </c>
    </row>
    <row r="438" spans="1:12" ht="15">
      <c r="A438" s="97" t="s">
        <v>2756</v>
      </c>
      <c r="B438" s="102" t="s">
        <v>2757</v>
      </c>
      <c r="C438" s="102">
        <v>5</v>
      </c>
      <c r="D438" s="118">
        <v>0.0066528624326682405</v>
      </c>
      <c r="E438" s="118">
        <v>2.171433900943008</v>
      </c>
      <c r="F438" s="102" t="s">
        <v>2607</v>
      </c>
      <c r="G438" s="102" t="b">
        <v>0</v>
      </c>
      <c r="H438" s="102" t="b">
        <v>0</v>
      </c>
      <c r="I438" s="102" t="b">
        <v>0</v>
      </c>
      <c r="J438" s="102" t="b">
        <v>0</v>
      </c>
      <c r="K438" s="102" t="b">
        <v>0</v>
      </c>
      <c r="L438" s="102" t="b">
        <v>0</v>
      </c>
    </row>
    <row r="439" spans="1:12" ht="15">
      <c r="A439" s="97" t="s">
        <v>378</v>
      </c>
      <c r="B439" s="102" t="s">
        <v>433</v>
      </c>
      <c r="C439" s="102">
        <v>5</v>
      </c>
      <c r="D439" s="118">
        <v>0.0066528624326682405</v>
      </c>
      <c r="E439" s="118">
        <v>2.171433900943008</v>
      </c>
      <c r="F439" s="102" t="s">
        <v>2607</v>
      </c>
      <c r="G439" s="102" t="b">
        <v>0</v>
      </c>
      <c r="H439" s="102" t="b">
        <v>0</v>
      </c>
      <c r="I439" s="102" t="b">
        <v>0</v>
      </c>
      <c r="J439" s="102" t="b">
        <v>0</v>
      </c>
      <c r="K439" s="102" t="b">
        <v>0</v>
      </c>
      <c r="L439" s="102" t="b">
        <v>0</v>
      </c>
    </row>
    <row r="440" spans="1:12" ht="15">
      <c r="A440" s="97" t="s">
        <v>433</v>
      </c>
      <c r="B440" s="102" t="s">
        <v>2793</v>
      </c>
      <c r="C440" s="102">
        <v>4</v>
      </c>
      <c r="D440" s="118">
        <v>0.005806840011174874</v>
      </c>
      <c r="E440" s="118">
        <v>2.171433900943008</v>
      </c>
      <c r="F440" s="102" t="s">
        <v>2607</v>
      </c>
      <c r="G440" s="102" t="b">
        <v>0</v>
      </c>
      <c r="H440" s="102" t="b">
        <v>0</v>
      </c>
      <c r="I440" s="102" t="b">
        <v>0</v>
      </c>
      <c r="J440" s="102" t="b">
        <v>0</v>
      </c>
      <c r="K440" s="102" t="b">
        <v>0</v>
      </c>
      <c r="L440" s="102" t="b">
        <v>0</v>
      </c>
    </row>
    <row r="441" spans="1:12" ht="15">
      <c r="A441" s="97" t="s">
        <v>2793</v>
      </c>
      <c r="B441" s="102" t="s">
        <v>2794</v>
      </c>
      <c r="C441" s="102">
        <v>4</v>
      </c>
      <c r="D441" s="118">
        <v>0.005806840011174874</v>
      </c>
      <c r="E441" s="118">
        <v>2.268343913951065</v>
      </c>
      <c r="F441" s="102" t="s">
        <v>2607</v>
      </c>
      <c r="G441" s="102" t="b">
        <v>0</v>
      </c>
      <c r="H441" s="102" t="b">
        <v>0</v>
      </c>
      <c r="I441" s="102" t="b">
        <v>0</v>
      </c>
      <c r="J441" s="102" t="b">
        <v>0</v>
      </c>
      <c r="K441" s="102" t="b">
        <v>0</v>
      </c>
      <c r="L441" s="102" t="b">
        <v>0</v>
      </c>
    </row>
    <row r="442" spans="1:12" ht="15">
      <c r="A442" s="97" t="s">
        <v>2794</v>
      </c>
      <c r="B442" s="102" t="s">
        <v>2795</v>
      </c>
      <c r="C442" s="102">
        <v>4</v>
      </c>
      <c r="D442" s="118">
        <v>0.005806840011174874</v>
      </c>
      <c r="E442" s="118">
        <v>2.268343913951065</v>
      </c>
      <c r="F442" s="102" t="s">
        <v>2607</v>
      </c>
      <c r="G442" s="102" t="b">
        <v>0</v>
      </c>
      <c r="H442" s="102" t="b">
        <v>0</v>
      </c>
      <c r="I442" s="102" t="b">
        <v>0</v>
      </c>
      <c r="J442" s="102" t="b">
        <v>0</v>
      </c>
      <c r="K442" s="102" t="b">
        <v>0</v>
      </c>
      <c r="L442" s="102" t="b">
        <v>0</v>
      </c>
    </row>
    <row r="443" spans="1:12" ht="15">
      <c r="A443" s="97" t="s">
        <v>2795</v>
      </c>
      <c r="B443" s="102" t="s">
        <v>2796</v>
      </c>
      <c r="C443" s="102">
        <v>4</v>
      </c>
      <c r="D443" s="118">
        <v>0.005806840011174874</v>
      </c>
      <c r="E443" s="118">
        <v>2.268343913951065</v>
      </c>
      <c r="F443" s="102" t="s">
        <v>2607</v>
      </c>
      <c r="G443" s="102" t="b">
        <v>0</v>
      </c>
      <c r="H443" s="102" t="b">
        <v>0</v>
      </c>
      <c r="I443" s="102" t="b">
        <v>0</v>
      </c>
      <c r="J443" s="102" t="b">
        <v>0</v>
      </c>
      <c r="K443" s="102" t="b">
        <v>0</v>
      </c>
      <c r="L443" s="102" t="b">
        <v>0</v>
      </c>
    </row>
    <row r="444" spans="1:12" ht="15">
      <c r="A444" s="97" t="s">
        <v>2796</v>
      </c>
      <c r="B444" s="102" t="s">
        <v>2741</v>
      </c>
      <c r="C444" s="102">
        <v>4</v>
      </c>
      <c r="D444" s="118">
        <v>0.005806840011174874</v>
      </c>
      <c r="E444" s="118">
        <v>2.171433900943008</v>
      </c>
      <c r="F444" s="102" t="s">
        <v>2607</v>
      </c>
      <c r="G444" s="102" t="b">
        <v>0</v>
      </c>
      <c r="H444" s="102" t="b">
        <v>0</v>
      </c>
      <c r="I444" s="102" t="b">
        <v>0</v>
      </c>
      <c r="J444" s="102" t="b">
        <v>0</v>
      </c>
      <c r="K444" s="102" t="b">
        <v>0</v>
      </c>
      <c r="L444" s="102" t="b">
        <v>0</v>
      </c>
    </row>
    <row r="445" spans="1:12" ht="15">
      <c r="A445" s="97" t="s">
        <v>2741</v>
      </c>
      <c r="B445" s="102" t="s">
        <v>2797</v>
      </c>
      <c r="C445" s="102">
        <v>4</v>
      </c>
      <c r="D445" s="118">
        <v>0.005806840011174874</v>
      </c>
      <c r="E445" s="118">
        <v>2.171433900943008</v>
      </c>
      <c r="F445" s="102" t="s">
        <v>2607</v>
      </c>
      <c r="G445" s="102" t="b">
        <v>0</v>
      </c>
      <c r="H445" s="102" t="b">
        <v>0</v>
      </c>
      <c r="I445" s="102" t="b">
        <v>0</v>
      </c>
      <c r="J445" s="102" t="b">
        <v>0</v>
      </c>
      <c r="K445" s="102" t="b">
        <v>0</v>
      </c>
      <c r="L445" s="102" t="b">
        <v>0</v>
      </c>
    </row>
    <row r="446" spans="1:12" ht="15">
      <c r="A446" s="97" t="s">
        <v>2797</v>
      </c>
      <c r="B446" s="102" t="s">
        <v>2798</v>
      </c>
      <c r="C446" s="102">
        <v>4</v>
      </c>
      <c r="D446" s="118">
        <v>0.005806840011174874</v>
      </c>
      <c r="E446" s="118">
        <v>2.268343913951065</v>
      </c>
      <c r="F446" s="102" t="s">
        <v>2607</v>
      </c>
      <c r="G446" s="102" t="b">
        <v>0</v>
      </c>
      <c r="H446" s="102" t="b">
        <v>0</v>
      </c>
      <c r="I446" s="102" t="b">
        <v>0</v>
      </c>
      <c r="J446" s="102" t="b">
        <v>0</v>
      </c>
      <c r="K446" s="102" t="b">
        <v>0</v>
      </c>
      <c r="L446" s="102" t="b">
        <v>0</v>
      </c>
    </row>
    <row r="447" spans="1:12" ht="15">
      <c r="A447" s="97" t="s">
        <v>2798</v>
      </c>
      <c r="B447" s="102" t="s">
        <v>2759</v>
      </c>
      <c r="C447" s="102">
        <v>4</v>
      </c>
      <c r="D447" s="118">
        <v>0.005806840011174874</v>
      </c>
      <c r="E447" s="118">
        <v>2.268343913951065</v>
      </c>
      <c r="F447" s="102" t="s">
        <v>2607</v>
      </c>
      <c r="G447" s="102" t="b">
        <v>0</v>
      </c>
      <c r="H447" s="102" t="b">
        <v>0</v>
      </c>
      <c r="I447" s="102" t="b">
        <v>0</v>
      </c>
      <c r="J447" s="102" t="b">
        <v>0</v>
      </c>
      <c r="K447" s="102" t="b">
        <v>0</v>
      </c>
      <c r="L447" s="102" t="b">
        <v>0</v>
      </c>
    </row>
    <row r="448" spans="1:12" ht="15">
      <c r="A448" s="97" t="s">
        <v>2759</v>
      </c>
      <c r="B448" s="102" t="s">
        <v>2758</v>
      </c>
      <c r="C448" s="102">
        <v>4</v>
      </c>
      <c r="D448" s="118">
        <v>0.005806840011174874</v>
      </c>
      <c r="E448" s="118">
        <v>2.268343913951065</v>
      </c>
      <c r="F448" s="102" t="s">
        <v>2607</v>
      </c>
      <c r="G448" s="102" t="b">
        <v>0</v>
      </c>
      <c r="H448" s="102" t="b">
        <v>0</v>
      </c>
      <c r="I448" s="102" t="b">
        <v>0</v>
      </c>
      <c r="J448" s="102" t="b">
        <v>0</v>
      </c>
      <c r="K448" s="102" t="b">
        <v>0</v>
      </c>
      <c r="L448" s="102" t="b">
        <v>0</v>
      </c>
    </row>
    <row r="449" spans="1:12" ht="15">
      <c r="A449" s="97" t="s">
        <v>2758</v>
      </c>
      <c r="B449" s="102" t="s">
        <v>2745</v>
      </c>
      <c r="C449" s="102">
        <v>4</v>
      </c>
      <c r="D449" s="118">
        <v>0.005806840011174874</v>
      </c>
      <c r="E449" s="118">
        <v>2.268343913951065</v>
      </c>
      <c r="F449" s="102" t="s">
        <v>2607</v>
      </c>
      <c r="G449" s="102" t="b">
        <v>0</v>
      </c>
      <c r="H449" s="102" t="b">
        <v>0</v>
      </c>
      <c r="I449" s="102" t="b">
        <v>0</v>
      </c>
      <c r="J449" s="102" t="b">
        <v>0</v>
      </c>
      <c r="K449" s="102" t="b">
        <v>0</v>
      </c>
      <c r="L449" s="102" t="b">
        <v>0</v>
      </c>
    </row>
    <row r="450" spans="1:12" ht="15">
      <c r="A450" s="97" t="s">
        <v>2745</v>
      </c>
      <c r="B450" s="102" t="s">
        <v>2799</v>
      </c>
      <c r="C450" s="102">
        <v>4</v>
      </c>
      <c r="D450" s="118">
        <v>0.005806840011174874</v>
      </c>
      <c r="E450" s="118">
        <v>2.268343913951065</v>
      </c>
      <c r="F450" s="102" t="s">
        <v>2607</v>
      </c>
      <c r="G450" s="102" t="b">
        <v>0</v>
      </c>
      <c r="H450" s="102" t="b">
        <v>0</v>
      </c>
      <c r="I450" s="102" t="b">
        <v>0</v>
      </c>
      <c r="J450" s="102" t="b">
        <v>0</v>
      </c>
      <c r="K450" s="102" t="b">
        <v>0</v>
      </c>
      <c r="L450" s="102" t="b">
        <v>0</v>
      </c>
    </row>
    <row r="451" spans="1:12" ht="15">
      <c r="A451" s="97" t="s">
        <v>2799</v>
      </c>
      <c r="B451" s="102" t="s">
        <v>712</v>
      </c>
      <c r="C451" s="102">
        <v>4</v>
      </c>
      <c r="D451" s="118">
        <v>0.005806840011174874</v>
      </c>
      <c r="E451" s="118">
        <v>1.2471546148811266</v>
      </c>
      <c r="F451" s="102" t="s">
        <v>2607</v>
      </c>
      <c r="G451" s="102" t="b">
        <v>0</v>
      </c>
      <c r="H451" s="102" t="b">
        <v>0</v>
      </c>
      <c r="I451" s="102" t="b">
        <v>0</v>
      </c>
      <c r="J451" s="102" t="b">
        <v>0</v>
      </c>
      <c r="K451" s="102" t="b">
        <v>0</v>
      </c>
      <c r="L451" s="102" t="b">
        <v>0</v>
      </c>
    </row>
    <row r="452" spans="1:12" ht="15">
      <c r="A452" s="97" t="s">
        <v>712</v>
      </c>
      <c r="B452" s="102" t="s">
        <v>2800</v>
      </c>
      <c r="C452" s="102">
        <v>4</v>
      </c>
      <c r="D452" s="118">
        <v>0.005806840011174874</v>
      </c>
      <c r="E452" s="118">
        <v>1.207646073597453</v>
      </c>
      <c r="F452" s="102" t="s">
        <v>2607</v>
      </c>
      <c r="G452" s="102" t="b">
        <v>0</v>
      </c>
      <c r="H452" s="102" t="b">
        <v>0</v>
      </c>
      <c r="I452" s="102" t="b">
        <v>0</v>
      </c>
      <c r="J452" s="102" t="b">
        <v>0</v>
      </c>
      <c r="K452" s="102" t="b">
        <v>0</v>
      </c>
      <c r="L452" s="102" t="b">
        <v>0</v>
      </c>
    </row>
    <row r="453" spans="1:12" ht="15">
      <c r="A453" s="97" t="s">
        <v>2800</v>
      </c>
      <c r="B453" s="102" t="s">
        <v>2801</v>
      </c>
      <c r="C453" s="102">
        <v>4</v>
      </c>
      <c r="D453" s="118">
        <v>0.005806840011174874</v>
      </c>
      <c r="E453" s="118">
        <v>2.268343913951065</v>
      </c>
      <c r="F453" s="102" t="s">
        <v>2607</v>
      </c>
      <c r="G453" s="102" t="b">
        <v>0</v>
      </c>
      <c r="H453" s="102" t="b">
        <v>0</v>
      </c>
      <c r="I453" s="102" t="b">
        <v>0</v>
      </c>
      <c r="J453" s="102" t="b">
        <v>0</v>
      </c>
      <c r="K453" s="102" t="b">
        <v>0</v>
      </c>
      <c r="L453" s="102" t="b">
        <v>0</v>
      </c>
    </row>
    <row r="454" spans="1:12" ht="15">
      <c r="A454" s="97" t="s">
        <v>2801</v>
      </c>
      <c r="B454" s="102" t="s">
        <v>2802</v>
      </c>
      <c r="C454" s="102">
        <v>4</v>
      </c>
      <c r="D454" s="118">
        <v>0.005806840011174874</v>
      </c>
      <c r="E454" s="118">
        <v>2.268343913951065</v>
      </c>
      <c r="F454" s="102" t="s">
        <v>2607</v>
      </c>
      <c r="G454" s="102" t="b">
        <v>0</v>
      </c>
      <c r="H454" s="102" t="b">
        <v>0</v>
      </c>
      <c r="I454" s="102" t="b">
        <v>0</v>
      </c>
      <c r="J454" s="102" t="b">
        <v>0</v>
      </c>
      <c r="K454" s="102" t="b">
        <v>0</v>
      </c>
      <c r="L454" s="102" t="b">
        <v>0</v>
      </c>
    </row>
    <row r="455" spans="1:12" ht="15">
      <c r="A455" s="97" t="s">
        <v>2802</v>
      </c>
      <c r="B455" s="102" t="s">
        <v>2729</v>
      </c>
      <c r="C455" s="102">
        <v>4</v>
      </c>
      <c r="D455" s="118">
        <v>0.005806840011174874</v>
      </c>
      <c r="E455" s="118">
        <v>2.268343913951065</v>
      </c>
      <c r="F455" s="102" t="s">
        <v>2607</v>
      </c>
      <c r="G455" s="102" t="b">
        <v>0</v>
      </c>
      <c r="H455" s="102" t="b">
        <v>0</v>
      </c>
      <c r="I455" s="102" t="b">
        <v>0</v>
      </c>
      <c r="J455" s="102" t="b">
        <v>0</v>
      </c>
      <c r="K455" s="102" t="b">
        <v>0</v>
      </c>
      <c r="L455" s="102" t="b">
        <v>0</v>
      </c>
    </row>
    <row r="456" spans="1:12" ht="15">
      <c r="A456" s="97" t="s">
        <v>2729</v>
      </c>
      <c r="B456" s="102" t="s">
        <v>2674</v>
      </c>
      <c r="C456" s="102">
        <v>4</v>
      </c>
      <c r="D456" s="118">
        <v>0.005806840011174874</v>
      </c>
      <c r="E456" s="118">
        <v>2.0253058652647704</v>
      </c>
      <c r="F456" s="102" t="s">
        <v>2607</v>
      </c>
      <c r="G456" s="102" t="b">
        <v>0</v>
      </c>
      <c r="H456" s="102" t="b">
        <v>0</v>
      </c>
      <c r="I456" s="102" t="b">
        <v>0</v>
      </c>
      <c r="J456" s="102" t="b">
        <v>0</v>
      </c>
      <c r="K456" s="102" t="b">
        <v>0</v>
      </c>
      <c r="L456" s="102" t="b">
        <v>0</v>
      </c>
    </row>
    <row r="457" spans="1:12" ht="15">
      <c r="A457" s="97" t="s">
        <v>2674</v>
      </c>
      <c r="B457" s="102" t="s">
        <v>2803</v>
      </c>
      <c r="C457" s="102">
        <v>4</v>
      </c>
      <c r="D457" s="118">
        <v>0.005806840011174874</v>
      </c>
      <c r="E457" s="118">
        <v>2.0922526548953835</v>
      </c>
      <c r="F457" s="102" t="s">
        <v>2607</v>
      </c>
      <c r="G457" s="102" t="b">
        <v>0</v>
      </c>
      <c r="H457" s="102" t="b">
        <v>0</v>
      </c>
      <c r="I457" s="102" t="b">
        <v>0</v>
      </c>
      <c r="J457" s="102" t="b">
        <v>0</v>
      </c>
      <c r="K457" s="102" t="b">
        <v>0</v>
      </c>
      <c r="L457" s="102" t="b">
        <v>0</v>
      </c>
    </row>
    <row r="458" spans="1:12" ht="15">
      <c r="A458" s="97" t="s">
        <v>2803</v>
      </c>
      <c r="B458" s="102" t="s">
        <v>2804</v>
      </c>
      <c r="C458" s="102">
        <v>4</v>
      </c>
      <c r="D458" s="118">
        <v>0.005806840011174874</v>
      </c>
      <c r="E458" s="118">
        <v>2.268343913951065</v>
      </c>
      <c r="F458" s="102" t="s">
        <v>2607</v>
      </c>
      <c r="G458" s="102" t="b">
        <v>0</v>
      </c>
      <c r="H458" s="102" t="b">
        <v>0</v>
      </c>
      <c r="I458" s="102" t="b">
        <v>0</v>
      </c>
      <c r="J458" s="102" t="b">
        <v>0</v>
      </c>
      <c r="K458" s="102" t="b">
        <v>0</v>
      </c>
      <c r="L458" s="102" t="b">
        <v>0</v>
      </c>
    </row>
    <row r="459" spans="1:12" ht="15">
      <c r="A459" s="97" t="s">
        <v>2876</v>
      </c>
      <c r="B459" s="102" t="s">
        <v>2877</v>
      </c>
      <c r="C459" s="102">
        <v>3</v>
      </c>
      <c r="D459" s="118">
        <v>0.00482365027066228</v>
      </c>
      <c r="E459" s="118">
        <v>2.3932826505593647</v>
      </c>
      <c r="F459" s="102" t="s">
        <v>2607</v>
      </c>
      <c r="G459" s="102" t="b">
        <v>0</v>
      </c>
      <c r="H459" s="102" t="b">
        <v>0</v>
      </c>
      <c r="I459" s="102" t="b">
        <v>0</v>
      </c>
      <c r="J459" s="102" t="b">
        <v>0</v>
      </c>
      <c r="K459" s="102" t="b">
        <v>0</v>
      </c>
      <c r="L459" s="102" t="b">
        <v>0</v>
      </c>
    </row>
    <row r="460" spans="1:12" ht="15">
      <c r="A460" s="97" t="s">
        <v>2877</v>
      </c>
      <c r="B460" s="102" t="s">
        <v>2714</v>
      </c>
      <c r="C460" s="102">
        <v>3</v>
      </c>
      <c r="D460" s="118">
        <v>0.00482365027066228</v>
      </c>
      <c r="E460" s="118">
        <v>2.0922526548953835</v>
      </c>
      <c r="F460" s="102" t="s">
        <v>2607</v>
      </c>
      <c r="G460" s="102" t="b">
        <v>0</v>
      </c>
      <c r="H460" s="102" t="b">
        <v>0</v>
      </c>
      <c r="I460" s="102" t="b">
        <v>0</v>
      </c>
      <c r="J460" s="102" t="b">
        <v>0</v>
      </c>
      <c r="K460" s="102" t="b">
        <v>0</v>
      </c>
      <c r="L460" s="102" t="b">
        <v>0</v>
      </c>
    </row>
    <row r="461" spans="1:12" ht="15">
      <c r="A461" s="97" t="s">
        <v>2714</v>
      </c>
      <c r="B461" s="102" t="s">
        <v>2878</v>
      </c>
      <c r="C461" s="102">
        <v>3</v>
      </c>
      <c r="D461" s="118">
        <v>0.00482365027066228</v>
      </c>
      <c r="E461" s="118">
        <v>2.0922526548953835</v>
      </c>
      <c r="F461" s="102" t="s">
        <v>2607</v>
      </c>
      <c r="G461" s="102" t="b">
        <v>0</v>
      </c>
      <c r="H461" s="102" t="b">
        <v>0</v>
      </c>
      <c r="I461" s="102" t="b">
        <v>0</v>
      </c>
      <c r="J461" s="102" t="b">
        <v>0</v>
      </c>
      <c r="K461" s="102" t="b">
        <v>0</v>
      </c>
      <c r="L461" s="102" t="b">
        <v>0</v>
      </c>
    </row>
    <row r="462" spans="1:12" ht="15">
      <c r="A462" s="97" t="s">
        <v>2878</v>
      </c>
      <c r="B462" s="102" t="s">
        <v>2879</v>
      </c>
      <c r="C462" s="102">
        <v>3</v>
      </c>
      <c r="D462" s="118">
        <v>0.00482365027066228</v>
      </c>
      <c r="E462" s="118">
        <v>2.3932826505593647</v>
      </c>
      <c r="F462" s="102" t="s">
        <v>2607</v>
      </c>
      <c r="G462" s="102" t="b">
        <v>0</v>
      </c>
      <c r="H462" s="102" t="b">
        <v>0</v>
      </c>
      <c r="I462" s="102" t="b">
        <v>0</v>
      </c>
      <c r="J462" s="102" t="b">
        <v>0</v>
      </c>
      <c r="K462" s="102" t="b">
        <v>0</v>
      </c>
      <c r="L462" s="102" t="b">
        <v>0</v>
      </c>
    </row>
    <row r="463" spans="1:12" ht="15">
      <c r="A463" s="97" t="s">
        <v>2879</v>
      </c>
      <c r="B463" s="102" t="s">
        <v>2880</v>
      </c>
      <c r="C463" s="102">
        <v>3</v>
      </c>
      <c r="D463" s="118">
        <v>0.00482365027066228</v>
      </c>
      <c r="E463" s="118">
        <v>2.3932826505593647</v>
      </c>
      <c r="F463" s="102" t="s">
        <v>2607</v>
      </c>
      <c r="G463" s="102" t="b">
        <v>0</v>
      </c>
      <c r="H463" s="102" t="b">
        <v>0</v>
      </c>
      <c r="I463" s="102" t="b">
        <v>0</v>
      </c>
      <c r="J463" s="102" t="b">
        <v>0</v>
      </c>
      <c r="K463" s="102" t="b">
        <v>0</v>
      </c>
      <c r="L463" s="102" t="b">
        <v>0</v>
      </c>
    </row>
    <row r="464" spans="1:12" ht="15">
      <c r="A464" s="97" t="s">
        <v>2880</v>
      </c>
      <c r="B464" s="102" t="s">
        <v>2881</v>
      </c>
      <c r="C464" s="102">
        <v>3</v>
      </c>
      <c r="D464" s="118">
        <v>0.00482365027066228</v>
      </c>
      <c r="E464" s="118">
        <v>2.3932826505593647</v>
      </c>
      <c r="F464" s="102" t="s">
        <v>2607</v>
      </c>
      <c r="G464" s="102" t="b">
        <v>0</v>
      </c>
      <c r="H464" s="102" t="b">
        <v>0</v>
      </c>
      <c r="I464" s="102" t="b">
        <v>0</v>
      </c>
      <c r="J464" s="102" t="b">
        <v>0</v>
      </c>
      <c r="K464" s="102" t="b">
        <v>0</v>
      </c>
      <c r="L464" s="102" t="b">
        <v>0</v>
      </c>
    </row>
    <row r="465" spans="1:12" ht="15">
      <c r="A465" s="97" t="s">
        <v>2881</v>
      </c>
      <c r="B465" s="102" t="s">
        <v>2882</v>
      </c>
      <c r="C465" s="102">
        <v>3</v>
      </c>
      <c r="D465" s="118">
        <v>0.00482365027066228</v>
      </c>
      <c r="E465" s="118">
        <v>2.3932826505593647</v>
      </c>
      <c r="F465" s="102" t="s">
        <v>2607</v>
      </c>
      <c r="G465" s="102" t="b">
        <v>0</v>
      </c>
      <c r="H465" s="102" t="b">
        <v>0</v>
      </c>
      <c r="I465" s="102" t="b">
        <v>0</v>
      </c>
      <c r="J465" s="102" t="b">
        <v>0</v>
      </c>
      <c r="K465" s="102" t="b">
        <v>0</v>
      </c>
      <c r="L465" s="102" t="b">
        <v>0</v>
      </c>
    </row>
    <row r="466" spans="1:12" ht="15">
      <c r="A466" s="97" t="s">
        <v>2882</v>
      </c>
      <c r="B466" s="102" t="s">
        <v>2883</v>
      </c>
      <c r="C466" s="102">
        <v>3</v>
      </c>
      <c r="D466" s="118">
        <v>0.00482365027066228</v>
      </c>
      <c r="E466" s="118">
        <v>2.3932826505593647</v>
      </c>
      <c r="F466" s="102" t="s">
        <v>2607</v>
      </c>
      <c r="G466" s="102" t="b">
        <v>0</v>
      </c>
      <c r="H466" s="102" t="b">
        <v>0</v>
      </c>
      <c r="I466" s="102" t="b">
        <v>0</v>
      </c>
      <c r="J466" s="102" t="b">
        <v>0</v>
      </c>
      <c r="K466" s="102" t="b">
        <v>0</v>
      </c>
      <c r="L466" s="102" t="b">
        <v>0</v>
      </c>
    </row>
    <row r="467" spans="1:12" ht="15">
      <c r="A467" s="97" t="s">
        <v>2883</v>
      </c>
      <c r="B467" s="102" t="s">
        <v>2791</v>
      </c>
      <c r="C467" s="102">
        <v>3</v>
      </c>
      <c r="D467" s="118">
        <v>0.00482365027066228</v>
      </c>
      <c r="E467" s="118">
        <v>2.3932826505593647</v>
      </c>
      <c r="F467" s="102" t="s">
        <v>2607</v>
      </c>
      <c r="G467" s="102" t="b">
        <v>0</v>
      </c>
      <c r="H467" s="102" t="b">
        <v>0</v>
      </c>
      <c r="I467" s="102" t="b">
        <v>0</v>
      </c>
      <c r="J467" s="102" t="b">
        <v>0</v>
      </c>
      <c r="K467" s="102" t="b">
        <v>0</v>
      </c>
      <c r="L467" s="102" t="b">
        <v>0</v>
      </c>
    </row>
    <row r="468" spans="1:12" ht="15">
      <c r="A468" s="97" t="s">
        <v>2791</v>
      </c>
      <c r="B468" s="102" t="s">
        <v>2714</v>
      </c>
      <c r="C468" s="102">
        <v>3</v>
      </c>
      <c r="D468" s="118">
        <v>0.00482365027066228</v>
      </c>
      <c r="E468" s="118">
        <v>2.0922526548953835</v>
      </c>
      <c r="F468" s="102" t="s">
        <v>2607</v>
      </c>
      <c r="G468" s="102" t="b">
        <v>0</v>
      </c>
      <c r="H468" s="102" t="b">
        <v>0</v>
      </c>
      <c r="I468" s="102" t="b">
        <v>0</v>
      </c>
      <c r="J468" s="102" t="b">
        <v>0</v>
      </c>
      <c r="K468" s="102" t="b">
        <v>0</v>
      </c>
      <c r="L468" s="102" t="b">
        <v>0</v>
      </c>
    </row>
    <row r="469" spans="1:12" ht="15">
      <c r="A469" s="97" t="s">
        <v>2714</v>
      </c>
      <c r="B469" s="102" t="s">
        <v>2884</v>
      </c>
      <c r="C469" s="102">
        <v>3</v>
      </c>
      <c r="D469" s="118">
        <v>0.00482365027066228</v>
      </c>
      <c r="E469" s="118">
        <v>2.0922526548953835</v>
      </c>
      <c r="F469" s="102" t="s">
        <v>2607</v>
      </c>
      <c r="G469" s="102" t="b">
        <v>0</v>
      </c>
      <c r="H469" s="102" t="b">
        <v>0</v>
      </c>
      <c r="I469" s="102" t="b">
        <v>0</v>
      </c>
      <c r="J469" s="102" t="b">
        <v>0</v>
      </c>
      <c r="K469" s="102" t="b">
        <v>0</v>
      </c>
      <c r="L469" s="102" t="b">
        <v>0</v>
      </c>
    </row>
    <row r="470" spans="1:12" ht="15">
      <c r="A470" s="97" t="s">
        <v>2884</v>
      </c>
      <c r="B470" s="102" t="s">
        <v>2786</v>
      </c>
      <c r="C470" s="102">
        <v>3</v>
      </c>
      <c r="D470" s="118">
        <v>0.00482365027066228</v>
      </c>
      <c r="E470" s="118">
        <v>2.3932826505593647</v>
      </c>
      <c r="F470" s="102" t="s">
        <v>2607</v>
      </c>
      <c r="G470" s="102" t="b">
        <v>0</v>
      </c>
      <c r="H470" s="102" t="b">
        <v>0</v>
      </c>
      <c r="I470" s="102" t="b">
        <v>0</v>
      </c>
      <c r="J470" s="102" t="b">
        <v>0</v>
      </c>
      <c r="K470" s="102" t="b">
        <v>0</v>
      </c>
      <c r="L470" s="102" t="b">
        <v>0</v>
      </c>
    </row>
    <row r="471" spans="1:12" ht="15">
      <c r="A471" s="97" t="s">
        <v>2786</v>
      </c>
      <c r="B471" s="102" t="s">
        <v>2885</v>
      </c>
      <c r="C471" s="102">
        <v>3</v>
      </c>
      <c r="D471" s="118">
        <v>0.00482365027066228</v>
      </c>
      <c r="E471" s="118">
        <v>2.3932826505593647</v>
      </c>
      <c r="F471" s="102" t="s">
        <v>2607</v>
      </c>
      <c r="G471" s="102" t="b">
        <v>0</v>
      </c>
      <c r="H471" s="102" t="b">
        <v>0</v>
      </c>
      <c r="I471" s="102" t="b">
        <v>0</v>
      </c>
      <c r="J471" s="102" t="b">
        <v>0</v>
      </c>
      <c r="K471" s="102" t="b">
        <v>0</v>
      </c>
      <c r="L471" s="102" t="b">
        <v>0</v>
      </c>
    </row>
    <row r="472" spans="1:12" ht="15">
      <c r="A472" s="97" t="s">
        <v>2885</v>
      </c>
      <c r="B472" s="102" t="s">
        <v>2886</v>
      </c>
      <c r="C472" s="102">
        <v>3</v>
      </c>
      <c r="D472" s="118">
        <v>0.00482365027066228</v>
      </c>
      <c r="E472" s="118">
        <v>2.3932826505593647</v>
      </c>
      <c r="F472" s="102" t="s">
        <v>2607</v>
      </c>
      <c r="G472" s="102" t="b">
        <v>0</v>
      </c>
      <c r="H472" s="102" t="b">
        <v>0</v>
      </c>
      <c r="I472" s="102" t="b">
        <v>0</v>
      </c>
      <c r="J472" s="102" t="b">
        <v>0</v>
      </c>
      <c r="K472" s="102" t="b">
        <v>0</v>
      </c>
      <c r="L472" s="102" t="b">
        <v>0</v>
      </c>
    </row>
    <row r="473" spans="1:12" ht="15">
      <c r="A473" s="97" t="s">
        <v>2886</v>
      </c>
      <c r="B473" s="102" t="s">
        <v>2887</v>
      </c>
      <c r="C473" s="102">
        <v>3</v>
      </c>
      <c r="D473" s="118">
        <v>0.00482365027066228</v>
      </c>
      <c r="E473" s="118">
        <v>2.3932826505593647</v>
      </c>
      <c r="F473" s="102" t="s">
        <v>2607</v>
      </c>
      <c r="G473" s="102" t="b">
        <v>0</v>
      </c>
      <c r="H473" s="102" t="b">
        <v>0</v>
      </c>
      <c r="I473" s="102" t="b">
        <v>0</v>
      </c>
      <c r="J473" s="102" t="b">
        <v>0</v>
      </c>
      <c r="K473" s="102" t="b">
        <v>0</v>
      </c>
      <c r="L473" s="102" t="b">
        <v>0</v>
      </c>
    </row>
    <row r="474" spans="1:12" ht="15">
      <c r="A474" s="97" t="s">
        <v>2887</v>
      </c>
      <c r="B474" s="102" t="s">
        <v>2888</v>
      </c>
      <c r="C474" s="102">
        <v>3</v>
      </c>
      <c r="D474" s="118">
        <v>0.00482365027066228</v>
      </c>
      <c r="E474" s="118">
        <v>2.3932826505593647</v>
      </c>
      <c r="F474" s="102" t="s">
        <v>2607</v>
      </c>
      <c r="G474" s="102" t="b">
        <v>0</v>
      </c>
      <c r="H474" s="102" t="b">
        <v>0</v>
      </c>
      <c r="I474" s="102" t="b">
        <v>0</v>
      </c>
      <c r="J474" s="102" t="b">
        <v>0</v>
      </c>
      <c r="K474" s="102" t="b">
        <v>0</v>
      </c>
      <c r="L474" s="102" t="b">
        <v>0</v>
      </c>
    </row>
    <row r="475" spans="1:12" ht="15">
      <c r="A475" s="97" t="s">
        <v>2888</v>
      </c>
      <c r="B475" s="102" t="s">
        <v>2889</v>
      </c>
      <c r="C475" s="102">
        <v>3</v>
      </c>
      <c r="D475" s="118">
        <v>0.00482365027066228</v>
      </c>
      <c r="E475" s="118">
        <v>2.3932826505593647</v>
      </c>
      <c r="F475" s="102" t="s">
        <v>2607</v>
      </c>
      <c r="G475" s="102" t="b">
        <v>0</v>
      </c>
      <c r="H475" s="102" t="b">
        <v>0</v>
      </c>
      <c r="I475" s="102" t="b">
        <v>0</v>
      </c>
      <c r="J475" s="102" t="b">
        <v>0</v>
      </c>
      <c r="K475" s="102" t="b">
        <v>0</v>
      </c>
      <c r="L475" s="102" t="b">
        <v>0</v>
      </c>
    </row>
    <row r="476" spans="1:12" ht="15">
      <c r="A476" s="97" t="s">
        <v>2889</v>
      </c>
      <c r="B476" s="102" t="s">
        <v>2708</v>
      </c>
      <c r="C476" s="102">
        <v>3</v>
      </c>
      <c r="D476" s="118">
        <v>0.00482365027066228</v>
      </c>
      <c r="E476" s="118">
        <v>2.171433900943008</v>
      </c>
      <c r="F476" s="102" t="s">
        <v>2607</v>
      </c>
      <c r="G476" s="102" t="b">
        <v>0</v>
      </c>
      <c r="H476" s="102" t="b">
        <v>0</v>
      </c>
      <c r="I476" s="102" t="b">
        <v>0</v>
      </c>
      <c r="J476" s="102" t="b">
        <v>0</v>
      </c>
      <c r="K476" s="102" t="b">
        <v>0</v>
      </c>
      <c r="L476" s="102" t="b">
        <v>0</v>
      </c>
    </row>
    <row r="477" spans="1:12" ht="15">
      <c r="A477" s="97" t="s">
        <v>2708</v>
      </c>
      <c r="B477" s="102" t="s">
        <v>712</v>
      </c>
      <c r="C477" s="102">
        <v>3</v>
      </c>
      <c r="D477" s="118">
        <v>0.00482365027066228</v>
      </c>
      <c r="E477" s="118">
        <v>1.0253058652647702</v>
      </c>
      <c r="F477" s="102" t="s">
        <v>2607</v>
      </c>
      <c r="G477" s="102" t="b">
        <v>0</v>
      </c>
      <c r="H477" s="102" t="b">
        <v>0</v>
      </c>
      <c r="I477" s="102" t="b">
        <v>0</v>
      </c>
      <c r="J477" s="102" t="b">
        <v>0</v>
      </c>
      <c r="K477" s="102" t="b">
        <v>0</v>
      </c>
      <c r="L477" s="102" t="b">
        <v>0</v>
      </c>
    </row>
    <row r="478" spans="1:12" ht="15">
      <c r="A478" s="97" t="s">
        <v>434</v>
      </c>
      <c r="B478" s="102" t="s">
        <v>712</v>
      </c>
      <c r="C478" s="102">
        <v>3</v>
      </c>
      <c r="D478" s="118">
        <v>0.00482365027066228</v>
      </c>
      <c r="E478" s="118">
        <v>1.1222158782728267</v>
      </c>
      <c r="F478" s="102" t="s">
        <v>2607</v>
      </c>
      <c r="G478" s="102" t="b">
        <v>0</v>
      </c>
      <c r="H478" s="102" t="b">
        <v>0</v>
      </c>
      <c r="I478" s="102" t="b">
        <v>0</v>
      </c>
      <c r="J478" s="102" t="b">
        <v>0</v>
      </c>
      <c r="K478" s="102" t="b">
        <v>0</v>
      </c>
      <c r="L478" s="102" t="b">
        <v>0</v>
      </c>
    </row>
    <row r="479" spans="1:12" ht="15">
      <c r="A479" s="97" t="s">
        <v>712</v>
      </c>
      <c r="B479" s="102" t="s">
        <v>2892</v>
      </c>
      <c r="C479" s="102">
        <v>3</v>
      </c>
      <c r="D479" s="118">
        <v>0.00482365027066228</v>
      </c>
      <c r="E479" s="118">
        <v>1.207646073597453</v>
      </c>
      <c r="F479" s="102" t="s">
        <v>2607</v>
      </c>
      <c r="G479" s="102" t="b">
        <v>0</v>
      </c>
      <c r="H479" s="102" t="b">
        <v>0</v>
      </c>
      <c r="I479" s="102" t="b">
        <v>0</v>
      </c>
      <c r="J479" s="102" t="b">
        <v>0</v>
      </c>
      <c r="K479" s="102" t="b">
        <v>0</v>
      </c>
      <c r="L479" s="102" t="b">
        <v>0</v>
      </c>
    </row>
    <row r="480" spans="1:12" ht="15">
      <c r="A480" s="97" t="s">
        <v>2892</v>
      </c>
      <c r="B480" s="102" t="s">
        <v>2893</v>
      </c>
      <c r="C480" s="102">
        <v>3</v>
      </c>
      <c r="D480" s="118">
        <v>0.00482365027066228</v>
      </c>
      <c r="E480" s="118">
        <v>2.3932826505593647</v>
      </c>
      <c r="F480" s="102" t="s">
        <v>2607</v>
      </c>
      <c r="G480" s="102" t="b">
        <v>0</v>
      </c>
      <c r="H480" s="102" t="b">
        <v>0</v>
      </c>
      <c r="I480" s="102" t="b">
        <v>0</v>
      </c>
      <c r="J480" s="102" t="b">
        <v>0</v>
      </c>
      <c r="K480" s="102" t="b">
        <v>0</v>
      </c>
      <c r="L480" s="102" t="b">
        <v>0</v>
      </c>
    </row>
    <row r="481" spans="1:12" ht="15">
      <c r="A481" s="97" t="s">
        <v>2893</v>
      </c>
      <c r="B481" s="102" t="s">
        <v>2894</v>
      </c>
      <c r="C481" s="102">
        <v>3</v>
      </c>
      <c r="D481" s="118">
        <v>0.00482365027066228</v>
      </c>
      <c r="E481" s="118">
        <v>2.3932826505593647</v>
      </c>
      <c r="F481" s="102" t="s">
        <v>2607</v>
      </c>
      <c r="G481" s="102" t="b">
        <v>0</v>
      </c>
      <c r="H481" s="102" t="b">
        <v>0</v>
      </c>
      <c r="I481" s="102" t="b">
        <v>0</v>
      </c>
      <c r="J481" s="102" t="b">
        <v>0</v>
      </c>
      <c r="K481" s="102" t="b">
        <v>0</v>
      </c>
      <c r="L481" s="102" t="b">
        <v>0</v>
      </c>
    </row>
    <row r="482" spans="1:12" ht="15">
      <c r="A482" s="97" t="s">
        <v>2894</v>
      </c>
      <c r="B482" s="102" t="s">
        <v>2895</v>
      </c>
      <c r="C482" s="102">
        <v>3</v>
      </c>
      <c r="D482" s="118">
        <v>0.00482365027066228</v>
      </c>
      <c r="E482" s="118">
        <v>2.3932826505593647</v>
      </c>
      <c r="F482" s="102" t="s">
        <v>2607</v>
      </c>
      <c r="G482" s="102" t="b">
        <v>0</v>
      </c>
      <c r="H482" s="102" t="b">
        <v>0</v>
      </c>
      <c r="I482" s="102" t="b">
        <v>0</v>
      </c>
      <c r="J482" s="102" t="b">
        <v>0</v>
      </c>
      <c r="K482" s="102" t="b">
        <v>0</v>
      </c>
      <c r="L482" s="102" t="b">
        <v>0</v>
      </c>
    </row>
    <row r="483" spans="1:12" ht="15">
      <c r="A483" s="97" t="s">
        <v>2895</v>
      </c>
      <c r="B483" s="102" t="s">
        <v>2896</v>
      </c>
      <c r="C483" s="102">
        <v>3</v>
      </c>
      <c r="D483" s="118">
        <v>0.00482365027066228</v>
      </c>
      <c r="E483" s="118">
        <v>2.3932826505593647</v>
      </c>
      <c r="F483" s="102" t="s">
        <v>2607</v>
      </c>
      <c r="G483" s="102" t="b">
        <v>0</v>
      </c>
      <c r="H483" s="102" t="b">
        <v>0</v>
      </c>
      <c r="I483" s="102" t="b">
        <v>0</v>
      </c>
      <c r="J483" s="102" t="b">
        <v>0</v>
      </c>
      <c r="K483" s="102" t="b">
        <v>0</v>
      </c>
      <c r="L483" s="102" t="b">
        <v>0</v>
      </c>
    </row>
    <row r="484" spans="1:12" ht="15">
      <c r="A484" s="97" t="s">
        <v>3043</v>
      </c>
      <c r="B484" s="102" t="s">
        <v>2666</v>
      </c>
      <c r="C484" s="102">
        <v>2</v>
      </c>
      <c r="D484" s="118">
        <v>0.0036559949947473904</v>
      </c>
      <c r="E484" s="118">
        <v>1.5279812244568207</v>
      </c>
      <c r="F484" s="102" t="s">
        <v>2607</v>
      </c>
      <c r="G484" s="102" t="b">
        <v>0</v>
      </c>
      <c r="H484" s="102" t="b">
        <v>0</v>
      </c>
      <c r="I484" s="102" t="b">
        <v>0</v>
      </c>
      <c r="J484" s="102" t="b">
        <v>0</v>
      </c>
      <c r="K484" s="102" t="b">
        <v>0</v>
      </c>
      <c r="L484" s="102" t="b">
        <v>0</v>
      </c>
    </row>
    <row r="485" spans="1:12" ht="15">
      <c r="A485" s="97" t="s">
        <v>712</v>
      </c>
      <c r="B485" s="102" t="s">
        <v>3044</v>
      </c>
      <c r="C485" s="102">
        <v>2</v>
      </c>
      <c r="D485" s="118">
        <v>0.0036559949947473904</v>
      </c>
      <c r="E485" s="118">
        <v>1.207646073597453</v>
      </c>
      <c r="F485" s="102" t="s">
        <v>2607</v>
      </c>
      <c r="G485" s="102" t="b">
        <v>0</v>
      </c>
      <c r="H485" s="102" t="b">
        <v>0</v>
      </c>
      <c r="I485" s="102" t="b">
        <v>0</v>
      </c>
      <c r="J485" s="102" t="b">
        <v>0</v>
      </c>
      <c r="K485" s="102" t="b">
        <v>0</v>
      </c>
      <c r="L485" s="102" t="b">
        <v>0</v>
      </c>
    </row>
    <row r="486" spans="1:12" ht="15">
      <c r="A486" s="97" t="s">
        <v>3044</v>
      </c>
      <c r="B486" s="102" t="s">
        <v>2668</v>
      </c>
      <c r="C486" s="102">
        <v>2</v>
      </c>
      <c r="D486" s="118">
        <v>0.0036559949947473904</v>
      </c>
      <c r="E486" s="118">
        <v>1.5279812244568207</v>
      </c>
      <c r="F486" s="102" t="s">
        <v>2607</v>
      </c>
      <c r="G486" s="102" t="b">
        <v>0</v>
      </c>
      <c r="H486" s="102" t="b">
        <v>0</v>
      </c>
      <c r="I486" s="102" t="b">
        <v>0</v>
      </c>
      <c r="J486" s="102" t="b">
        <v>0</v>
      </c>
      <c r="K486" s="102" t="b">
        <v>0</v>
      </c>
      <c r="L486" s="102" t="b">
        <v>0</v>
      </c>
    </row>
    <row r="487" spans="1:12" ht="15">
      <c r="A487" s="97" t="s">
        <v>2668</v>
      </c>
      <c r="B487" s="102" t="s">
        <v>2875</v>
      </c>
      <c r="C487" s="102">
        <v>2</v>
      </c>
      <c r="D487" s="118">
        <v>0.0036559949947473904</v>
      </c>
      <c r="E487" s="118">
        <v>1.5279812244568207</v>
      </c>
      <c r="F487" s="102" t="s">
        <v>2607</v>
      </c>
      <c r="G487" s="102" t="b">
        <v>0</v>
      </c>
      <c r="H487" s="102" t="b">
        <v>0</v>
      </c>
      <c r="I487" s="102" t="b">
        <v>0</v>
      </c>
      <c r="J487" s="102" t="b">
        <v>0</v>
      </c>
      <c r="K487" s="102" t="b">
        <v>0</v>
      </c>
      <c r="L487" s="102" t="b">
        <v>0</v>
      </c>
    </row>
    <row r="488" spans="1:12" ht="15">
      <c r="A488" s="97" t="s">
        <v>712</v>
      </c>
      <c r="B488" s="102" t="s">
        <v>2713</v>
      </c>
      <c r="C488" s="102">
        <v>2</v>
      </c>
      <c r="D488" s="118">
        <v>0.0036559949947473904</v>
      </c>
      <c r="E488" s="118">
        <v>1.031554814541772</v>
      </c>
      <c r="F488" s="102" t="s">
        <v>2607</v>
      </c>
      <c r="G488" s="102" t="b">
        <v>0</v>
      </c>
      <c r="H488" s="102" t="b">
        <v>0</v>
      </c>
      <c r="I488" s="102" t="b">
        <v>0</v>
      </c>
      <c r="J488" s="102" t="b">
        <v>0</v>
      </c>
      <c r="K488" s="102" t="b">
        <v>0</v>
      </c>
      <c r="L488" s="102" t="b">
        <v>0</v>
      </c>
    </row>
    <row r="489" spans="1:12" ht="15">
      <c r="A489" s="97" t="s">
        <v>2897</v>
      </c>
      <c r="B489" s="102" t="s">
        <v>2681</v>
      </c>
      <c r="C489" s="102">
        <v>2</v>
      </c>
      <c r="D489" s="118">
        <v>0.0036559949947473904</v>
      </c>
      <c r="E489" s="118">
        <v>2.268343913951065</v>
      </c>
      <c r="F489" s="102" t="s">
        <v>2607</v>
      </c>
      <c r="G489" s="102" t="b">
        <v>0</v>
      </c>
      <c r="H489" s="102" t="b">
        <v>0</v>
      </c>
      <c r="I489" s="102" t="b">
        <v>0</v>
      </c>
      <c r="J489" s="102" t="b">
        <v>0</v>
      </c>
      <c r="K489" s="102" t="b">
        <v>0</v>
      </c>
      <c r="L489" s="102" t="b">
        <v>0</v>
      </c>
    </row>
    <row r="490" spans="1:12" ht="15">
      <c r="A490" s="97" t="s">
        <v>459</v>
      </c>
      <c r="B490" s="102" t="s">
        <v>458</v>
      </c>
      <c r="C490" s="102">
        <v>17</v>
      </c>
      <c r="D490" s="118">
        <v>0.009231185925575978</v>
      </c>
      <c r="E490" s="118">
        <v>1.2017247701163791</v>
      </c>
      <c r="F490" s="102" t="s">
        <v>2608</v>
      </c>
      <c r="G490" s="102" t="b">
        <v>0</v>
      </c>
      <c r="H490" s="102" t="b">
        <v>0</v>
      </c>
      <c r="I490" s="102" t="b">
        <v>0</v>
      </c>
      <c r="J490" s="102" t="b">
        <v>0</v>
      </c>
      <c r="K490" s="102" t="b">
        <v>0</v>
      </c>
      <c r="L490" s="102" t="b">
        <v>0</v>
      </c>
    </row>
    <row r="491" spans="1:12" ht="15">
      <c r="A491" s="97" t="s">
        <v>458</v>
      </c>
      <c r="B491" s="102" t="s">
        <v>712</v>
      </c>
      <c r="C491" s="102">
        <v>6</v>
      </c>
      <c r="D491" s="118">
        <v>0.007621065662540367</v>
      </c>
      <c r="E491" s="118">
        <v>0.6784293021283252</v>
      </c>
      <c r="F491" s="102" t="s">
        <v>2608</v>
      </c>
      <c r="G491" s="102" t="b">
        <v>0</v>
      </c>
      <c r="H491" s="102" t="b">
        <v>0</v>
      </c>
      <c r="I491" s="102" t="b">
        <v>0</v>
      </c>
      <c r="J491" s="102" t="b">
        <v>0</v>
      </c>
      <c r="K491" s="102" t="b">
        <v>0</v>
      </c>
      <c r="L491" s="102" t="b">
        <v>0</v>
      </c>
    </row>
    <row r="492" spans="1:12" ht="15">
      <c r="A492" s="97" t="s">
        <v>372</v>
      </c>
      <c r="B492" s="102" t="s">
        <v>458</v>
      </c>
      <c r="C492" s="102">
        <v>4</v>
      </c>
      <c r="D492" s="118">
        <v>0.00621313011407738</v>
      </c>
      <c r="E492" s="118">
        <v>1.1261778087238483</v>
      </c>
      <c r="F492" s="102" t="s">
        <v>2608</v>
      </c>
      <c r="G492" s="102" t="b">
        <v>0</v>
      </c>
      <c r="H492" s="102" t="b">
        <v>0</v>
      </c>
      <c r="I492" s="102" t="b">
        <v>0</v>
      </c>
      <c r="J492" s="102" t="b">
        <v>0</v>
      </c>
      <c r="K492" s="102" t="b">
        <v>0</v>
      </c>
      <c r="L492" s="102" t="b">
        <v>0</v>
      </c>
    </row>
    <row r="493" spans="1:12" ht="15">
      <c r="A493" s="97" t="s">
        <v>712</v>
      </c>
      <c r="B493" s="102" t="s">
        <v>2710</v>
      </c>
      <c r="C493" s="102">
        <v>4</v>
      </c>
      <c r="D493" s="118">
        <v>0.00621313011407738</v>
      </c>
      <c r="E493" s="118">
        <v>1.1931245983544616</v>
      </c>
      <c r="F493" s="102" t="s">
        <v>2608</v>
      </c>
      <c r="G493" s="102" t="b">
        <v>0</v>
      </c>
      <c r="H493" s="102" t="b">
        <v>0</v>
      </c>
      <c r="I493" s="102" t="b">
        <v>0</v>
      </c>
      <c r="J493" s="102" t="b">
        <v>0</v>
      </c>
      <c r="K493" s="102" t="b">
        <v>0</v>
      </c>
      <c r="L493" s="102" t="b">
        <v>0</v>
      </c>
    </row>
    <row r="494" spans="1:12" ht="15">
      <c r="A494" s="97" t="s">
        <v>458</v>
      </c>
      <c r="B494" s="102" t="s">
        <v>2664</v>
      </c>
      <c r="C494" s="102">
        <v>3</v>
      </c>
      <c r="D494" s="118">
        <v>0.005262445993636653</v>
      </c>
      <c r="E494" s="118">
        <v>1.4054280300645876</v>
      </c>
      <c r="F494" s="102" t="s">
        <v>2608</v>
      </c>
      <c r="G494" s="102" t="b">
        <v>0</v>
      </c>
      <c r="H494" s="102" t="b">
        <v>0</v>
      </c>
      <c r="I494" s="102" t="b">
        <v>0</v>
      </c>
      <c r="J494" s="102" t="b">
        <v>0</v>
      </c>
      <c r="K494" s="102" t="b">
        <v>0</v>
      </c>
      <c r="L494" s="102" t="b">
        <v>0</v>
      </c>
    </row>
    <row r="495" spans="1:12" ht="15">
      <c r="A495" s="97" t="s">
        <v>2664</v>
      </c>
      <c r="B495" s="102" t="s">
        <v>2853</v>
      </c>
      <c r="C495" s="102">
        <v>3</v>
      </c>
      <c r="D495" s="118">
        <v>0.005262445993636653</v>
      </c>
      <c r="E495" s="118">
        <v>2.290034611362518</v>
      </c>
      <c r="F495" s="102" t="s">
        <v>2608</v>
      </c>
      <c r="G495" s="102" t="b">
        <v>0</v>
      </c>
      <c r="H495" s="102" t="b">
        <v>0</v>
      </c>
      <c r="I495" s="102" t="b">
        <v>0</v>
      </c>
      <c r="J495" s="102" t="b">
        <v>0</v>
      </c>
      <c r="K495" s="102" t="b">
        <v>0</v>
      </c>
      <c r="L495" s="102" t="b">
        <v>0</v>
      </c>
    </row>
    <row r="496" spans="1:12" ht="15">
      <c r="A496" s="97" t="s">
        <v>2853</v>
      </c>
      <c r="B496" s="102" t="s">
        <v>2854</v>
      </c>
      <c r="C496" s="102">
        <v>3</v>
      </c>
      <c r="D496" s="118">
        <v>0.005262445993636653</v>
      </c>
      <c r="E496" s="118">
        <v>2.290034611362518</v>
      </c>
      <c r="F496" s="102" t="s">
        <v>2608</v>
      </c>
      <c r="G496" s="102" t="b">
        <v>0</v>
      </c>
      <c r="H496" s="102" t="b">
        <v>0</v>
      </c>
      <c r="I496" s="102" t="b">
        <v>0</v>
      </c>
      <c r="J496" s="102" t="b">
        <v>0</v>
      </c>
      <c r="K496" s="102" t="b">
        <v>0</v>
      </c>
      <c r="L496" s="102" t="b">
        <v>0</v>
      </c>
    </row>
    <row r="497" spans="1:12" ht="15">
      <c r="A497" s="97" t="s">
        <v>2854</v>
      </c>
      <c r="B497" s="102" t="s">
        <v>2783</v>
      </c>
      <c r="C497" s="102">
        <v>3</v>
      </c>
      <c r="D497" s="118">
        <v>0.005262445993636653</v>
      </c>
      <c r="E497" s="118">
        <v>2.290034611362518</v>
      </c>
      <c r="F497" s="102" t="s">
        <v>2608</v>
      </c>
      <c r="G497" s="102" t="b">
        <v>0</v>
      </c>
      <c r="H497" s="102" t="b">
        <v>0</v>
      </c>
      <c r="I497" s="102" t="b">
        <v>0</v>
      </c>
      <c r="J497" s="102" t="b">
        <v>0</v>
      </c>
      <c r="K497" s="102" t="b">
        <v>0</v>
      </c>
      <c r="L497" s="102" t="b">
        <v>0</v>
      </c>
    </row>
    <row r="498" spans="1:12" ht="15">
      <c r="A498" s="97" t="s">
        <v>2783</v>
      </c>
      <c r="B498" s="102" t="s">
        <v>2855</v>
      </c>
      <c r="C498" s="102">
        <v>3</v>
      </c>
      <c r="D498" s="118">
        <v>0.005262445993636653</v>
      </c>
      <c r="E498" s="118">
        <v>2.290034611362518</v>
      </c>
      <c r="F498" s="102" t="s">
        <v>2608</v>
      </c>
      <c r="G498" s="102" t="b">
        <v>0</v>
      </c>
      <c r="H498" s="102" t="b">
        <v>0</v>
      </c>
      <c r="I498" s="102" t="b">
        <v>0</v>
      </c>
      <c r="J498" s="102" t="b">
        <v>0</v>
      </c>
      <c r="K498" s="102" t="b">
        <v>0</v>
      </c>
      <c r="L498" s="102" t="b">
        <v>0</v>
      </c>
    </row>
    <row r="499" spans="1:12" ht="15">
      <c r="A499" s="97" t="s">
        <v>2855</v>
      </c>
      <c r="B499" s="102" t="s">
        <v>2856</v>
      </c>
      <c r="C499" s="102">
        <v>3</v>
      </c>
      <c r="D499" s="118">
        <v>0.005262445993636653</v>
      </c>
      <c r="E499" s="118">
        <v>2.290034611362518</v>
      </c>
      <c r="F499" s="102" t="s">
        <v>2608</v>
      </c>
      <c r="G499" s="102" t="b">
        <v>0</v>
      </c>
      <c r="H499" s="102" t="b">
        <v>0</v>
      </c>
      <c r="I499" s="102" t="b">
        <v>0</v>
      </c>
      <c r="J499" s="102" t="b">
        <v>0</v>
      </c>
      <c r="K499" s="102" t="b">
        <v>0</v>
      </c>
      <c r="L499" s="102" t="b">
        <v>0</v>
      </c>
    </row>
    <row r="500" spans="1:12" ht="15">
      <c r="A500" s="97" t="s">
        <v>2856</v>
      </c>
      <c r="B500" s="102" t="s">
        <v>2857</v>
      </c>
      <c r="C500" s="102">
        <v>3</v>
      </c>
      <c r="D500" s="118">
        <v>0.005262445993636653</v>
      </c>
      <c r="E500" s="118">
        <v>2.290034611362518</v>
      </c>
      <c r="F500" s="102" t="s">
        <v>2608</v>
      </c>
      <c r="G500" s="102" t="b">
        <v>0</v>
      </c>
      <c r="H500" s="102" t="b">
        <v>0</v>
      </c>
      <c r="I500" s="102" t="b">
        <v>0</v>
      </c>
      <c r="J500" s="102" t="b">
        <v>0</v>
      </c>
      <c r="K500" s="102" t="b">
        <v>0</v>
      </c>
      <c r="L500" s="102" t="b">
        <v>0</v>
      </c>
    </row>
    <row r="501" spans="1:12" ht="15">
      <c r="A501" s="97" t="s">
        <v>2857</v>
      </c>
      <c r="B501" s="102" t="s">
        <v>712</v>
      </c>
      <c r="C501" s="102">
        <v>3</v>
      </c>
      <c r="D501" s="118">
        <v>0.005262445993636653</v>
      </c>
      <c r="E501" s="118">
        <v>1.2620058877622744</v>
      </c>
      <c r="F501" s="102" t="s">
        <v>2608</v>
      </c>
      <c r="G501" s="102" t="b">
        <v>0</v>
      </c>
      <c r="H501" s="102" t="b">
        <v>0</v>
      </c>
      <c r="I501" s="102" t="b">
        <v>0</v>
      </c>
      <c r="J501" s="102" t="b">
        <v>0</v>
      </c>
      <c r="K501" s="102" t="b">
        <v>0</v>
      </c>
      <c r="L501" s="102" t="b">
        <v>0</v>
      </c>
    </row>
    <row r="502" spans="1:12" ht="15">
      <c r="A502" s="97" t="s">
        <v>2710</v>
      </c>
      <c r="B502" s="102" t="s">
        <v>2750</v>
      </c>
      <c r="C502" s="102">
        <v>3</v>
      </c>
      <c r="D502" s="118">
        <v>0.005262445993636653</v>
      </c>
      <c r="E502" s="118">
        <v>2.0681858617461617</v>
      </c>
      <c r="F502" s="102" t="s">
        <v>2608</v>
      </c>
      <c r="G502" s="102" t="b">
        <v>0</v>
      </c>
      <c r="H502" s="102" t="b">
        <v>0</v>
      </c>
      <c r="I502" s="102" t="b">
        <v>0</v>
      </c>
      <c r="J502" s="102" t="b">
        <v>0</v>
      </c>
      <c r="K502" s="102" t="b">
        <v>0</v>
      </c>
      <c r="L502" s="102" t="b">
        <v>0</v>
      </c>
    </row>
    <row r="503" spans="1:12" ht="15">
      <c r="A503" s="97" t="s">
        <v>2750</v>
      </c>
      <c r="B503" s="102" t="s">
        <v>2751</v>
      </c>
      <c r="C503" s="102">
        <v>3</v>
      </c>
      <c r="D503" s="118">
        <v>0.005262445993636653</v>
      </c>
      <c r="E503" s="118">
        <v>2.290034611362518</v>
      </c>
      <c r="F503" s="102" t="s">
        <v>2608</v>
      </c>
      <c r="G503" s="102" t="b">
        <v>0</v>
      </c>
      <c r="H503" s="102" t="b">
        <v>0</v>
      </c>
      <c r="I503" s="102" t="b">
        <v>0</v>
      </c>
      <c r="J503" s="102" t="b">
        <v>0</v>
      </c>
      <c r="K503" s="102" t="b">
        <v>0</v>
      </c>
      <c r="L503" s="102" t="b">
        <v>0</v>
      </c>
    </row>
    <row r="504" spans="1:12" ht="15">
      <c r="A504" s="97" t="s">
        <v>2751</v>
      </c>
      <c r="B504" s="102" t="s">
        <v>2858</v>
      </c>
      <c r="C504" s="102">
        <v>3</v>
      </c>
      <c r="D504" s="118">
        <v>0.005262445993636653</v>
      </c>
      <c r="E504" s="118">
        <v>2.290034611362518</v>
      </c>
      <c r="F504" s="102" t="s">
        <v>2608</v>
      </c>
      <c r="G504" s="102" t="b">
        <v>0</v>
      </c>
      <c r="H504" s="102" t="b">
        <v>0</v>
      </c>
      <c r="I504" s="102" t="b">
        <v>0</v>
      </c>
      <c r="J504" s="102" t="b">
        <v>0</v>
      </c>
      <c r="K504" s="102" t="b">
        <v>0</v>
      </c>
      <c r="L504" s="102" t="b">
        <v>0</v>
      </c>
    </row>
    <row r="505" spans="1:12" ht="15">
      <c r="A505" s="97" t="s">
        <v>2858</v>
      </c>
      <c r="B505" s="102" t="s">
        <v>2707</v>
      </c>
      <c r="C505" s="102">
        <v>3</v>
      </c>
      <c r="D505" s="118">
        <v>0.005262445993636653</v>
      </c>
      <c r="E505" s="118">
        <v>1.9890046156985368</v>
      </c>
      <c r="F505" s="102" t="s">
        <v>2608</v>
      </c>
      <c r="G505" s="102" t="b">
        <v>0</v>
      </c>
      <c r="H505" s="102" t="b">
        <v>0</v>
      </c>
      <c r="I505" s="102" t="b">
        <v>0</v>
      </c>
      <c r="J505" s="102" t="b">
        <v>0</v>
      </c>
      <c r="K505" s="102" t="b">
        <v>0</v>
      </c>
      <c r="L505" s="102" t="b">
        <v>0</v>
      </c>
    </row>
    <row r="506" spans="1:12" ht="15">
      <c r="A506" s="97" t="s">
        <v>2707</v>
      </c>
      <c r="B506" s="102" t="s">
        <v>2859</v>
      </c>
      <c r="C506" s="102">
        <v>3</v>
      </c>
      <c r="D506" s="118">
        <v>0.005262445993636653</v>
      </c>
      <c r="E506" s="118">
        <v>1.9890046156985368</v>
      </c>
      <c r="F506" s="102" t="s">
        <v>2608</v>
      </c>
      <c r="G506" s="102" t="b">
        <v>0</v>
      </c>
      <c r="H506" s="102" t="b">
        <v>0</v>
      </c>
      <c r="I506" s="102" t="b">
        <v>0</v>
      </c>
      <c r="J506" s="102" t="b">
        <v>0</v>
      </c>
      <c r="K506" s="102" t="b">
        <v>0</v>
      </c>
      <c r="L506" s="102" t="b">
        <v>0</v>
      </c>
    </row>
    <row r="507" spans="1:12" ht="15">
      <c r="A507" s="97" t="s">
        <v>2859</v>
      </c>
      <c r="B507" s="102" t="s">
        <v>2730</v>
      </c>
      <c r="C507" s="102">
        <v>3</v>
      </c>
      <c r="D507" s="118">
        <v>0.005262445993636653</v>
      </c>
      <c r="E507" s="118">
        <v>2.290034611362518</v>
      </c>
      <c r="F507" s="102" t="s">
        <v>2608</v>
      </c>
      <c r="G507" s="102" t="b">
        <v>0</v>
      </c>
      <c r="H507" s="102" t="b">
        <v>0</v>
      </c>
      <c r="I507" s="102" t="b">
        <v>0</v>
      </c>
      <c r="J507" s="102" t="b">
        <v>0</v>
      </c>
      <c r="K507" s="102" t="b">
        <v>0</v>
      </c>
      <c r="L507" s="102" t="b">
        <v>0</v>
      </c>
    </row>
    <row r="508" spans="1:12" ht="15">
      <c r="A508" s="97" t="s">
        <v>2730</v>
      </c>
      <c r="B508" s="102" t="s">
        <v>2860</v>
      </c>
      <c r="C508" s="102">
        <v>3</v>
      </c>
      <c r="D508" s="118">
        <v>0.005262445993636653</v>
      </c>
      <c r="E508" s="118">
        <v>2.290034611362518</v>
      </c>
      <c r="F508" s="102" t="s">
        <v>2608</v>
      </c>
      <c r="G508" s="102" t="b">
        <v>0</v>
      </c>
      <c r="H508" s="102" t="b">
        <v>0</v>
      </c>
      <c r="I508" s="102" t="b">
        <v>0</v>
      </c>
      <c r="J508" s="102" t="b">
        <v>0</v>
      </c>
      <c r="K508" s="102" t="b">
        <v>0</v>
      </c>
      <c r="L508" s="102" t="b">
        <v>0</v>
      </c>
    </row>
    <row r="509" spans="1:12" ht="15">
      <c r="A509" s="97" t="s">
        <v>2860</v>
      </c>
      <c r="B509" s="102" t="s">
        <v>2861</v>
      </c>
      <c r="C509" s="102">
        <v>3</v>
      </c>
      <c r="D509" s="118">
        <v>0.005262445993636653</v>
      </c>
      <c r="E509" s="118">
        <v>2.290034611362518</v>
      </c>
      <c r="F509" s="102" t="s">
        <v>2608</v>
      </c>
      <c r="G509" s="102" t="b">
        <v>0</v>
      </c>
      <c r="H509" s="102" t="b">
        <v>0</v>
      </c>
      <c r="I509" s="102" t="b">
        <v>0</v>
      </c>
      <c r="J509" s="102" t="b">
        <v>0</v>
      </c>
      <c r="K509" s="102" t="b">
        <v>0</v>
      </c>
      <c r="L509" s="102" t="b">
        <v>0</v>
      </c>
    </row>
    <row r="510" spans="1:12" ht="15">
      <c r="A510" s="97" t="s">
        <v>2861</v>
      </c>
      <c r="B510" s="102" t="s">
        <v>2780</v>
      </c>
      <c r="C510" s="102">
        <v>3</v>
      </c>
      <c r="D510" s="118">
        <v>0.005262445993636653</v>
      </c>
      <c r="E510" s="118">
        <v>2.290034611362518</v>
      </c>
      <c r="F510" s="102" t="s">
        <v>2608</v>
      </c>
      <c r="G510" s="102" t="b">
        <v>0</v>
      </c>
      <c r="H510" s="102" t="b">
        <v>0</v>
      </c>
      <c r="I510" s="102" t="b">
        <v>0</v>
      </c>
      <c r="J510" s="102" t="b">
        <v>0</v>
      </c>
      <c r="K510" s="102" t="b">
        <v>0</v>
      </c>
      <c r="L510" s="102" t="b">
        <v>0</v>
      </c>
    </row>
    <row r="511" spans="1:12" ht="15">
      <c r="A511" s="97" t="s">
        <v>2780</v>
      </c>
      <c r="B511" s="102" t="s">
        <v>2862</v>
      </c>
      <c r="C511" s="102">
        <v>3</v>
      </c>
      <c r="D511" s="118">
        <v>0.005262445993636653</v>
      </c>
      <c r="E511" s="118">
        <v>2.290034611362518</v>
      </c>
      <c r="F511" s="102" t="s">
        <v>2608</v>
      </c>
      <c r="G511" s="102" t="b">
        <v>0</v>
      </c>
      <c r="H511" s="102" t="b">
        <v>0</v>
      </c>
      <c r="I511" s="102" t="b">
        <v>0</v>
      </c>
      <c r="J511" s="102" t="b">
        <v>0</v>
      </c>
      <c r="K511" s="102" t="b">
        <v>0</v>
      </c>
      <c r="L511" s="102" t="b">
        <v>0</v>
      </c>
    </row>
    <row r="512" spans="1:12" ht="15">
      <c r="A512" s="97" t="s">
        <v>2862</v>
      </c>
      <c r="B512" s="102" t="s">
        <v>2863</v>
      </c>
      <c r="C512" s="102">
        <v>3</v>
      </c>
      <c r="D512" s="118">
        <v>0.005262445993636653</v>
      </c>
      <c r="E512" s="118">
        <v>2.290034611362518</v>
      </c>
      <c r="F512" s="102" t="s">
        <v>2608</v>
      </c>
      <c r="G512" s="102" t="b">
        <v>0</v>
      </c>
      <c r="H512" s="102" t="b">
        <v>0</v>
      </c>
      <c r="I512" s="102" t="b">
        <v>0</v>
      </c>
      <c r="J512" s="102" t="b">
        <v>0</v>
      </c>
      <c r="K512" s="102" t="b">
        <v>0</v>
      </c>
      <c r="L512" s="102" t="b">
        <v>0</v>
      </c>
    </row>
    <row r="513" spans="1:12" ht="15">
      <c r="A513" s="97" t="s">
        <v>2863</v>
      </c>
      <c r="B513" s="102" t="s">
        <v>2784</v>
      </c>
      <c r="C513" s="102">
        <v>3</v>
      </c>
      <c r="D513" s="118">
        <v>0.005262445993636653</v>
      </c>
      <c r="E513" s="118">
        <v>2.165095874754218</v>
      </c>
      <c r="F513" s="102" t="s">
        <v>2608</v>
      </c>
      <c r="G513" s="102" t="b">
        <v>0</v>
      </c>
      <c r="H513" s="102" t="b">
        <v>0</v>
      </c>
      <c r="I513" s="102" t="b">
        <v>0</v>
      </c>
      <c r="J513" s="102" t="b">
        <v>0</v>
      </c>
      <c r="K513" s="102" t="b">
        <v>0</v>
      </c>
      <c r="L513" s="102" t="b">
        <v>0</v>
      </c>
    </row>
    <row r="514" spans="1:12" ht="15">
      <c r="A514" s="97" t="s">
        <v>2784</v>
      </c>
      <c r="B514" s="102" t="s">
        <v>2864</v>
      </c>
      <c r="C514" s="102">
        <v>3</v>
      </c>
      <c r="D514" s="118">
        <v>0.005262445993636653</v>
      </c>
      <c r="E514" s="118">
        <v>2.165095874754218</v>
      </c>
      <c r="F514" s="102" t="s">
        <v>2608</v>
      </c>
      <c r="G514" s="102" t="b">
        <v>0</v>
      </c>
      <c r="H514" s="102" t="b">
        <v>0</v>
      </c>
      <c r="I514" s="102" t="b">
        <v>0</v>
      </c>
      <c r="J514" s="102" t="b">
        <v>0</v>
      </c>
      <c r="K514" s="102" t="b">
        <v>0</v>
      </c>
      <c r="L514" s="102" t="b">
        <v>0</v>
      </c>
    </row>
    <row r="515" spans="1:12" ht="15">
      <c r="A515" s="97" t="s">
        <v>372</v>
      </c>
      <c r="B515" s="102" t="s">
        <v>459</v>
      </c>
      <c r="C515" s="102">
        <v>3</v>
      </c>
      <c r="D515" s="118">
        <v>0.005262445993636653</v>
      </c>
      <c r="E515" s="118">
        <v>1.357786395629361</v>
      </c>
      <c r="F515" s="102" t="s">
        <v>2608</v>
      </c>
      <c r="G515" s="102" t="b">
        <v>0</v>
      </c>
      <c r="H515" s="102" t="b">
        <v>0</v>
      </c>
      <c r="I515" s="102" t="b">
        <v>0</v>
      </c>
      <c r="J515" s="102" t="b">
        <v>0</v>
      </c>
      <c r="K515" s="102" t="b">
        <v>0</v>
      </c>
      <c r="L515" s="102" t="b">
        <v>0</v>
      </c>
    </row>
    <row r="516" spans="1:12" ht="15">
      <c r="A516" s="97" t="s">
        <v>2904</v>
      </c>
      <c r="B516" s="102" t="s">
        <v>2905</v>
      </c>
      <c r="C516" s="102">
        <v>3</v>
      </c>
      <c r="D516" s="118">
        <v>0.005262445993636653</v>
      </c>
      <c r="E516" s="118">
        <v>2.290034611362518</v>
      </c>
      <c r="F516" s="102" t="s">
        <v>2608</v>
      </c>
      <c r="G516" s="102" t="b">
        <v>0</v>
      </c>
      <c r="H516" s="102" t="b">
        <v>0</v>
      </c>
      <c r="I516" s="102" t="b">
        <v>0</v>
      </c>
      <c r="J516" s="102" t="b">
        <v>0</v>
      </c>
      <c r="K516" s="102" t="b">
        <v>0</v>
      </c>
      <c r="L516" s="102" t="b">
        <v>0</v>
      </c>
    </row>
    <row r="517" spans="1:12" ht="15">
      <c r="A517" s="97" t="s">
        <v>2905</v>
      </c>
      <c r="B517" s="102" t="s">
        <v>2706</v>
      </c>
      <c r="C517" s="102">
        <v>3</v>
      </c>
      <c r="D517" s="118">
        <v>0.005262445993636653</v>
      </c>
      <c r="E517" s="118">
        <v>1.9890046156985368</v>
      </c>
      <c r="F517" s="102" t="s">
        <v>2608</v>
      </c>
      <c r="G517" s="102" t="b">
        <v>0</v>
      </c>
      <c r="H517" s="102" t="b">
        <v>0</v>
      </c>
      <c r="I517" s="102" t="b">
        <v>0</v>
      </c>
      <c r="J517" s="102" t="b">
        <v>0</v>
      </c>
      <c r="K517" s="102" t="b">
        <v>0</v>
      </c>
      <c r="L517" s="102" t="b">
        <v>0</v>
      </c>
    </row>
    <row r="518" spans="1:12" ht="15">
      <c r="A518" s="97" t="s">
        <v>2706</v>
      </c>
      <c r="B518" s="102" t="s">
        <v>2906</v>
      </c>
      <c r="C518" s="102">
        <v>3</v>
      </c>
      <c r="D518" s="118">
        <v>0.005262445993636653</v>
      </c>
      <c r="E518" s="118">
        <v>2.0681858617461617</v>
      </c>
      <c r="F518" s="102" t="s">
        <v>2608</v>
      </c>
      <c r="G518" s="102" t="b">
        <v>0</v>
      </c>
      <c r="H518" s="102" t="b">
        <v>0</v>
      </c>
      <c r="I518" s="102" t="b">
        <v>0</v>
      </c>
      <c r="J518" s="102" t="b">
        <v>0</v>
      </c>
      <c r="K518" s="102" t="b">
        <v>0</v>
      </c>
      <c r="L518" s="102" t="b">
        <v>0</v>
      </c>
    </row>
    <row r="519" spans="1:12" ht="15">
      <c r="A519" s="97" t="s">
        <v>2906</v>
      </c>
      <c r="B519" s="102" t="s">
        <v>2907</v>
      </c>
      <c r="C519" s="102">
        <v>3</v>
      </c>
      <c r="D519" s="118">
        <v>0.005262445993636653</v>
      </c>
      <c r="E519" s="118">
        <v>2.290034611362518</v>
      </c>
      <c r="F519" s="102" t="s">
        <v>2608</v>
      </c>
      <c r="G519" s="102" t="b">
        <v>0</v>
      </c>
      <c r="H519" s="102" t="b">
        <v>0</v>
      </c>
      <c r="I519" s="102" t="b">
        <v>0</v>
      </c>
      <c r="J519" s="102" t="b">
        <v>0</v>
      </c>
      <c r="K519" s="102" t="b">
        <v>0</v>
      </c>
      <c r="L519" s="102" t="b">
        <v>0</v>
      </c>
    </row>
    <row r="520" spans="1:12" ht="15">
      <c r="A520" s="97" t="s">
        <v>2907</v>
      </c>
      <c r="B520" s="102" t="s">
        <v>2908</v>
      </c>
      <c r="C520" s="102">
        <v>3</v>
      </c>
      <c r="D520" s="118">
        <v>0.005262445993636653</v>
      </c>
      <c r="E520" s="118">
        <v>2.290034611362518</v>
      </c>
      <c r="F520" s="102" t="s">
        <v>2608</v>
      </c>
      <c r="G520" s="102" t="b">
        <v>0</v>
      </c>
      <c r="H520" s="102" t="b">
        <v>0</v>
      </c>
      <c r="I520" s="102" t="b">
        <v>0</v>
      </c>
      <c r="J520" s="102" t="b">
        <v>0</v>
      </c>
      <c r="K520" s="102" t="b">
        <v>0</v>
      </c>
      <c r="L520" s="102" t="b">
        <v>0</v>
      </c>
    </row>
    <row r="521" spans="1:12" ht="15">
      <c r="A521" s="97" t="s">
        <v>2908</v>
      </c>
      <c r="B521" s="102" t="s">
        <v>2909</v>
      </c>
      <c r="C521" s="102">
        <v>3</v>
      </c>
      <c r="D521" s="118">
        <v>0.005262445993636653</v>
      </c>
      <c r="E521" s="118">
        <v>2.290034611362518</v>
      </c>
      <c r="F521" s="102" t="s">
        <v>2608</v>
      </c>
      <c r="G521" s="102" t="b">
        <v>0</v>
      </c>
      <c r="H521" s="102" t="b">
        <v>0</v>
      </c>
      <c r="I521" s="102" t="b">
        <v>0</v>
      </c>
      <c r="J521" s="102" t="b">
        <v>0</v>
      </c>
      <c r="K521" s="102" t="b">
        <v>0</v>
      </c>
      <c r="L521" s="102" t="b">
        <v>0</v>
      </c>
    </row>
    <row r="522" spans="1:12" ht="15">
      <c r="A522" s="97" t="s">
        <v>2909</v>
      </c>
      <c r="B522" s="102" t="s">
        <v>2792</v>
      </c>
      <c r="C522" s="102">
        <v>3</v>
      </c>
      <c r="D522" s="118">
        <v>0.005262445993636653</v>
      </c>
      <c r="E522" s="118">
        <v>2.165095874754218</v>
      </c>
      <c r="F522" s="102" t="s">
        <v>2608</v>
      </c>
      <c r="G522" s="102" t="b">
        <v>0</v>
      </c>
      <c r="H522" s="102" t="b">
        <v>0</v>
      </c>
      <c r="I522" s="102" t="b">
        <v>0</v>
      </c>
      <c r="J522" s="102" t="b">
        <v>0</v>
      </c>
      <c r="K522" s="102" t="b">
        <v>0</v>
      </c>
      <c r="L522" s="102" t="b">
        <v>0</v>
      </c>
    </row>
    <row r="523" spans="1:12" ht="15">
      <c r="A523" s="97" t="s">
        <v>2792</v>
      </c>
      <c r="B523" s="102" t="s">
        <v>2806</v>
      </c>
      <c r="C523" s="102">
        <v>3</v>
      </c>
      <c r="D523" s="118">
        <v>0.005262445993636653</v>
      </c>
      <c r="E523" s="118">
        <v>2.165095874754218</v>
      </c>
      <c r="F523" s="102" t="s">
        <v>2608</v>
      </c>
      <c r="G523" s="102" t="b">
        <v>0</v>
      </c>
      <c r="H523" s="102" t="b">
        <v>0</v>
      </c>
      <c r="I523" s="102" t="b">
        <v>0</v>
      </c>
      <c r="J523" s="102" t="b">
        <v>0</v>
      </c>
      <c r="K523" s="102" t="b">
        <v>0</v>
      </c>
      <c r="L523" s="102" t="b">
        <v>0</v>
      </c>
    </row>
    <row r="524" spans="1:12" ht="15">
      <c r="A524" s="97" t="s">
        <v>2806</v>
      </c>
      <c r="B524" s="102" t="s">
        <v>2805</v>
      </c>
      <c r="C524" s="102">
        <v>3</v>
      </c>
      <c r="D524" s="118">
        <v>0.005262445993636653</v>
      </c>
      <c r="E524" s="118">
        <v>2.290034611362518</v>
      </c>
      <c r="F524" s="102" t="s">
        <v>2608</v>
      </c>
      <c r="G524" s="102" t="b">
        <v>0</v>
      </c>
      <c r="H524" s="102" t="b">
        <v>0</v>
      </c>
      <c r="I524" s="102" t="b">
        <v>0</v>
      </c>
      <c r="J524" s="102" t="b">
        <v>0</v>
      </c>
      <c r="K524" s="102" t="b">
        <v>0</v>
      </c>
      <c r="L524" s="102" t="b">
        <v>0</v>
      </c>
    </row>
    <row r="525" spans="1:12" ht="15">
      <c r="A525" s="97" t="s">
        <v>2805</v>
      </c>
      <c r="B525" s="102" t="s">
        <v>2662</v>
      </c>
      <c r="C525" s="102">
        <v>3</v>
      </c>
      <c r="D525" s="118">
        <v>0.005262445993636653</v>
      </c>
      <c r="E525" s="118">
        <v>2.165095874754218</v>
      </c>
      <c r="F525" s="102" t="s">
        <v>2608</v>
      </c>
      <c r="G525" s="102" t="b">
        <v>0</v>
      </c>
      <c r="H525" s="102" t="b">
        <v>0</v>
      </c>
      <c r="I525" s="102" t="b">
        <v>0</v>
      </c>
      <c r="J525" s="102" t="b">
        <v>0</v>
      </c>
      <c r="K525" s="102" t="b">
        <v>0</v>
      </c>
      <c r="L525" s="102" t="b">
        <v>0</v>
      </c>
    </row>
    <row r="526" spans="1:12" ht="15">
      <c r="A526" s="97" t="s">
        <v>2662</v>
      </c>
      <c r="B526" s="102" t="s">
        <v>2910</v>
      </c>
      <c r="C526" s="102">
        <v>3</v>
      </c>
      <c r="D526" s="118">
        <v>0.005262445993636653</v>
      </c>
      <c r="E526" s="118">
        <v>2.165095874754218</v>
      </c>
      <c r="F526" s="102" t="s">
        <v>2608</v>
      </c>
      <c r="G526" s="102" t="b">
        <v>0</v>
      </c>
      <c r="H526" s="102" t="b">
        <v>0</v>
      </c>
      <c r="I526" s="102" t="b">
        <v>0</v>
      </c>
      <c r="J526" s="102" t="b">
        <v>0</v>
      </c>
      <c r="K526" s="102" t="b">
        <v>0</v>
      </c>
      <c r="L526" s="102" t="b">
        <v>0</v>
      </c>
    </row>
    <row r="527" spans="1:12" ht="15">
      <c r="A527" s="97" t="s">
        <v>712</v>
      </c>
      <c r="B527" s="102" t="s">
        <v>2781</v>
      </c>
      <c r="C527" s="102">
        <v>2</v>
      </c>
      <c r="D527" s="118">
        <v>0.004074507165283002</v>
      </c>
      <c r="E527" s="118">
        <v>1.1139433523068367</v>
      </c>
      <c r="F527" s="102" t="s">
        <v>2608</v>
      </c>
      <c r="G527" s="102" t="b">
        <v>0</v>
      </c>
      <c r="H527" s="102" t="b">
        <v>0</v>
      </c>
      <c r="I527" s="102" t="b">
        <v>0</v>
      </c>
      <c r="J527" s="102" t="b">
        <v>0</v>
      </c>
      <c r="K527" s="102" t="b">
        <v>0</v>
      </c>
      <c r="L527" s="102" t="b">
        <v>0</v>
      </c>
    </row>
    <row r="528" spans="1:12" ht="15">
      <c r="A528" s="97" t="s">
        <v>712</v>
      </c>
      <c r="B528" s="102" t="s">
        <v>2706</v>
      </c>
      <c r="C528" s="102">
        <v>2</v>
      </c>
      <c r="D528" s="118">
        <v>0.004074507165283002</v>
      </c>
      <c r="E528" s="118">
        <v>0.8129133566428556</v>
      </c>
      <c r="F528" s="102" t="s">
        <v>2608</v>
      </c>
      <c r="G528" s="102" t="b">
        <v>0</v>
      </c>
      <c r="H528" s="102" t="b">
        <v>0</v>
      </c>
      <c r="I528" s="102" t="b">
        <v>0</v>
      </c>
      <c r="J528" s="102" t="b">
        <v>0</v>
      </c>
      <c r="K528" s="102" t="b">
        <v>0</v>
      </c>
      <c r="L528" s="102" t="b">
        <v>0</v>
      </c>
    </row>
    <row r="529" spans="1:12" ht="15">
      <c r="A529" s="97" t="s">
        <v>2682</v>
      </c>
      <c r="B529" s="102" t="s">
        <v>2717</v>
      </c>
      <c r="C529" s="102">
        <v>2</v>
      </c>
      <c r="D529" s="118">
        <v>0.004074507165283002</v>
      </c>
      <c r="E529" s="118">
        <v>2.466125870418199</v>
      </c>
      <c r="F529" s="102" t="s">
        <v>2608</v>
      </c>
      <c r="G529" s="102" t="b">
        <v>0</v>
      </c>
      <c r="H529" s="102" t="b">
        <v>0</v>
      </c>
      <c r="I529" s="102" t="b">
        <v>0</v>
      </c>
      <c r="J529" s="102" t="b">
        <v>0</v>
      </c>
      <c r="K529" s="102" t="b">
        <v>0</v>
      </c>
      <c r="L529" s="102" t="b">
        <v>0</v>
      </c>
    </row>
    <row r="530" spans="1:12" ht="15">
      <c r="A530" s="97" t="s">
        <v>3004</v>
      </c>
      <c r="B530" s="102" t="s">
        <v>2845</v>
      </c>
      <c r="C530" s="102">
        <v>2</v>
      </c>
      <c r="D530" s="118">
        <v>0.004074507165283002</v>
      </c>
      <c r="E530" s="118">
        <v>2.466125870418199</v>
      </c>
      <c r="F530" s="102" t="s">
        <v>2608</v>
      </c>
      <c r="G530" s="102" t="b">
        <v>0</v>
      </c>
      <c r="H530" s="102" t="b">
        <v>0</v>
      </c>
      <c r="I530" s="102" t="b">
        <v>0</v>
      </c>
      <c r="J530" s="102" t="b">
        <v>0</v>
      </c>
      <c r="K530" s="102" t="b">
        <v>0</v>
      </c>
      <c r="L530" s="102" t="b">
        <v>0</v>
      </c>
    </row>
    <row r="531" spans="1:12" ht="15">
      <c r="A531" s="97" t="s">
        <v>459</v>
      </c>
      <c r="B531" s="102" t="s">
        <v>372</v>
      </c>
      <c r="C531" s="102">
        <v>2</v>
      </c>
      <c r="D531" s="118">
        <v>0.004074507165283002</v>
      </c>
      <c r="E531" s="118">
        <v>1.0681858617461617</v>
      </c>
      <c r="F531" s="102" t="s">
        <v>2608</v>
      </c>
      <c r="G531" s="102" t="b">
        <v>0</v>
      </c>
      <c r="H531" s="102" t="b">
        <v>0</v>
      </c>
      <c r="I531" s="102" t="b">
        <v>0</v>
      </c>
      <c r="J531" s="102" t="b">
        <v>0</v>
      </c>
      <c r="K531" s="102" t="b">
        <v>0</v>
      </c>
      <c r="L531" s="102" t="b">
        <v>0</v>
      </c>
    </row>
    <row r="532" spans="1:12" ht="15">
      <c r="A532" s="97" t="s">
        <v>459</v>
      </c>
      <c r="B532" s="102" t="s">
        <v>465</v>
      </c>
      <c r="C532" s="102">
        <v>2</v>
      </c>
      <c r="D532" s="118">
        <v>0.004074507165283002</v>
      </c>
      <c r="E532" s="118">
        <v>1.3692158574101427</v>
      </c>
      <c r="F532" s="102" t="s">
        <v>2608</v>
      </c>
      <c r="G532" s="102" t="b">
        <v>0</v>
      </c>
      <c r="H532" s="102" t="b">
        <v>0</v>
      </c>
      <c r="I532" s="102" t="b">
        <v>0</v>
      </c>
      <c r="J532" s="102" t="b">
        <v>0</v>
      </c>
      <c r="K532" s="102" t="b">
        <v>0</v>
      </c>
      <c r="L532" s="102" t="b">
        <v>0</v>
      </c>
    </row>
    <row r="533" spans="1:12" ht="15">
      <c r="A533" s="97" t="s">
        <v>465</v>
      </c>
      <c r="B533" s="102" t="s">
        <v>458</v>
      </c>
      <c r="C533" s="102">
        <v>2</v>
      </c>
      <c r="D533" s="118">
        <v>0.004074507165283002</v>
      </c>
      <c r="E533" s="118">
        <v>1.3692158574101427</v>
      </c>
      <c r="F533" s="102" t="s">
        <v>2608</v>
      </c>
      <c r="G533" s="102" t="b">
        <v>0</v>
      </c>
      <c r="H533" s="102" t="b">
        <v>0</v>
      </c>
      <c r="I533" s="102" t="b">
        <v>0</v>
      </c>
      <c r="J533" s="102" t="b">
        <v>0</v>
      </c>
      <c r="K533" s="102" t="b">
        <v>0</v>
      </c>
      <c r="L533" s="102" t="b">
        <v>0</v>
      </c>
    </row>
    <row r="534" spans="1:12" ht="15">
      <c r="A534" s="97" t="s">
        <v>712</v>
      </c>
      <c r="B534" s="102" t="s">
        <v>2713</v>
      </c>
      <c r="C534" s="102">
        <v>2</v>
      </c>
      <c r="D534" s="118">
        <v>0.004074507165283002</v>
      </c>
      <c r="E534" s="118">
        <v>1.290034611362518</v>
      </c>
      <c r="F534" s="102" t="s">
        <v>2608</v>
      </c>
      <c r="G534" s="102" t="b">
        <v>0</v>
      </c>
      <c r="H534" s="102" t="b">
        <v>0</v>
      </c>
      <c r="I534" s="102" t="b">
        <v>0</v>
      </c>
      <c r="J534" s="102" t="b">
        <v>0</v>
      </c>
      <c r="K534" s="102" t="b">
        <v>0</v>
      </c>
      <c r="L534" s="102" t="b">
        <v>0</v>
      </c>
    </row>
    <row r="535" spans="1:12" ht="15">
      <c r="A535" s="97" t="s">
        <v>460</v>
      </c>
      <c r="B535" s="102" t="s">
        <v>459</v>
      </c>
      <c r="C535" s="102">
        <v>2</v>
      </c>
      <c r="D535" s="118">
        <v>0.004074507165283002</v>
      </c>
      <c r="E535" s="118">
        <v>1.7257631809239555</v>
      </c>
      <c r="F535" s="102" t="s">
        <v>2608</v>
      </c>
      <c r="G535" s="102" t="b">
        <v>0</v>
      </c>
      <c r="H535" s="102" t="b">
        <v>0</v>
      </c>
      <c r="I535" s="102" t="b">
        <v>0</v>
      </c>
      <c r="J535" s="102" t="b">
        <v>0</v>
      </c>
      <c r="K535" s="102" t="b">
        <v>0</v>
      </c>
      <c r="L535" s="102" t="b">
        <v>0</v>
      </c>
    </row>
    <row r="536" spans="1:12" ht="15">
      <c r="A536" s="97" t="s">
        <v>431</v>
      </c>
      <c r="B536" s="102" t="s">
        <v>430</v>
      </c>
      <c r="C536" s="102">
        <v>18</v>
      </c>
      <c r="D536" s="118">
        <v>0.016514365668353757</v>
      </c>
      <c r="E536" s="118">
        <v>1.25927524755698</v>
      </c>
      <c r="F536" s="102" t="s">
        <v>2609</v>
      </c>
      <c r="G536" s="102" t="b">
        <v>0</v>
      </c>
      <c r="H536" s="102" t="b">
        <v>0</v>
      </c>
      <c r="I536" s="102" t="b">
        <v>0</v>
      </c>
      <c r="J536" s="102" t="b">
        <v>0</v>
      </c>
      <c r="K536" s="102" t="b">
        <v>0</v>
      </c>
      <c r="L536" s="102" t="b">
        <v>0</v>
      </c>
    </row>
    <row r="537" spans="1:12" ht="15">
      <c r="A537" s="97" t="s">
        <v>2675</v>
      </c>
      <c r="B537" s="102" t="s">
        <v>2678</v>
      </c>
      <c r="C537" s="102">
        <v>15</v>
      </c>
      <c r="D537" s="118">
        <v>0.01700710442503352</v>
      </c>
      <c r="E537" s="118">
        <v>1.3384564936046048</v>
      </c>
      <c r="F537" s="102" t="s">
        <v>2609</v>
      </c>
      <c r="G537" s="102" t="b">
        <v>0</v>
      </c>
      <c r="H537" s="102" t="b">
        <v>0</v>
      </c>
      <c r="I537" s="102" t="b">
        <v>0</v>
      </c>
      <c r="J537" s="102" t="b">
        <v>0</v>
      </c>
      <c r="K537" s="102" t="b">
        <v>0</v>
      </c>
      <c r="L537" s="102" t="b">
        <v>0</v>
      </c>
    </row>
    <row r="538" spans="1:12" ht="15">
      <c r="A538" s="97" t="s">
        <v>2678</v>
      </c>
      <c r="B538" s="102" t="s">
        <v>2676</v>
      </c>
      <c r="C538" s="102">
        <v>15</v>
      </c>
      <c r="D538" s="118">
        <v>0.01700710442503352</v>
      </c>
      <c r="E538" s="118">
        <v>1.3384564936046048</v>
      </c>
      <c r="F538" s="102" t="s">
        <v>2609</v>
      </c>
      <c r="G538" s="102" t="b">
        <v>0</v>
      </c>
      <c r="H538" s="102" t="b">
        <v>0</v>
      </c>
      <c r="I538" s="102" t="b">
        <v>0</v>
      </c>
      <c r="J538" s="102" t="b">
        <v>0</v>
      </c>
      <c r="K538" s="102" t="b">
        <v>0</v>
      </c>
      <c r="L538" s="102" t="b">
        <v>0</v>
      </c>
    </row>
    <row r="539" spans="1:12" ht="15">
      <c r="A539" s="97" t="s">
        <v>2676</v>
      </c>
      <c r="B539" s="102" t="s">
        <v>2660</v>
      </c>
      <c r="C539" s="102">
        <v>15</v>
      </c>
      <c r="D539" s="118">
        <v>0.01700710442503352</v>
      </c>
      <c r="E539" s="118">
        <v>1.25927524755698</v>
      </c>
      <c r="F539" s="102" t="s">
        <v>2609</v>
      </c>
      <c r="G539" s="102" t="b">
        <v>0</v>
      </c>
      <c r="H539" s="102" t="b">
        <v>0</v>
      </c>
      <c r="I539" s="102" t="b">
        <v>0</v>
      </c>
      <c r="J539" s="102" t="b">
        <v>0</v>
      </c>
      <c r="K539" s="102" t="b">
        <v>0</v>
      </c>
      <c r="L539" s="102" t="b">
        <v>0</v>
      </c>
    </row>
    <row r="540" spans="1:12" ht="15">
      <c r="A540" s="97" t="s">
        <v>2660</v>
      </c>
      <c r="B540" s="102" t="s">
        <v>2679</v>
      </c>
      <c r="C540" s="102">
        <v>15</v>
      </c>
      <c r="D540" s="118">
        <v>0.01700710442503352</v>
      </c>
      <c r="E540" s="118">
        <v>1.25927524755698</v>
      </c>
      <c r="F540" s="102" t="s">
        <v>2609</v>
      </c>
      <c r="G540" s="102" t="b">
        <v>0</v>
      </c>
      <c r="H540" s="102" t="b">
        <v>0</v>
      </c>
      <c r="I540" s="102" t="b">
        <v>0</v>
      </c>
      <c r="J540" s="102" t="b">
        <v>0</v>
      </c>
      <c r="K540" s="102" t="b">
        <v>0</v>
      </c>
      <c r="L540" s="102" t="b">
        <v>0</v>
      </c>
    </row>
    <row r="541" spans="1:12" ht="15">
      <c r="A541" s="97" t="s">
        <v>2679</v>
      </c>
      <c r="B541" s="102" t="s">
        <v>2662</v>
      </c>
      <c r="C541" s="102">
        <v>15</v>
      </c>
      <c r="D541" s="118">
        <v>0.01700710442503352</v>
      </c>
      <c r="E541" s="118">
        <v>1.3104277700043614</v>
      </c>
      <c r="F541" s="102" t="s">
        <v>2609</v>
      </c>
      <c r="G541" s="102" t="b">
        <v>0</v>
      </c>
      <c r="H541" s="102" t="b">
        <v>0</v>
      </c>
      <c r="I541" s="102" t="b">
        <v>0</v>
      </c>
      <c r="J541" s="102" t="b">
        <v>0</v>
      </c>
      <c r="K541" s="102" t="b">
        <v>0</v>
      </c>
      <c r="L541" s="102" t="b">
        <v>0</v>
      </c>
    </row>
    <row r="542" spans="1:12" ht="15">
      <c r="A542" s="97" t="s">
        <v>2662</v>
      </c>
      <c r="B542" s="102" t="s">
        <v>431</v>
      </c>
      <c r="C542" s="102">
        <v>15</v>
      </c>
      <c r="D542" s="118">
        <v>0.01700710442503352</v>
      </c>
      <c r="E542" s="118">
        <v>1.2312465239567365</v>
      </c>
      <c r="F542" s="102" t="s">
        <v>2609</v>
      </c>
      <c r="G542" s="102" t="b">
        <v>0</v>
      </c>
      <c r="H542" s="102" t="b">
        <v>0</v>
      </c>
      <c r="I542" s="102" t="b">
        <v>0</v>
      </c>
      <c r="J542" s="102" t="b">
        <v>0</v>
      </c>
      <c r="K542" s="102" t="b">
        <v>0</v>
      </c>
      <c r="L542" s="102" t="b">
        <v>0</v>
      </c>
    </row>
    <row r="543" spans="1:12" ht="15">
      <c r="A543" s="97" t="s">
        <v>2735</v>
      </c>
      <c r="B543" s="102" t="s">
        <v>2736</v>
      </c>
      <c r="C543" s="102">
        <v>6</v>
      </c>
      <c r="D543" s="118">
        <v>0.01332644846955501</v>
      </c>
      <c r="E543" s="118">
        <v>1.7363965022766426</v>
      </c>
      <c r="F543" s="102" t="s">
        <v>2609</v>
      </c>
      <c r="G543" s="102" t="b">
        <v>0</v>
      </c>
      <c r="H543" s="102" t="b">
        <v>1</v>
      </c>
      <c r="I543" s="102" t="b">
        <v>0</v>
      </c>
      <c r="J543" s="102" t="b">
        <v>0</v>
      </c>
      <c r="K543" s="102" t="b">
        <v>0</v>
      </c>
      <c r="L543" s="102" t="b">
        <v>0</v>
      </c>
    </row>
    <row r="544" spans="1:12" ht="15">
      <c r="A544" s="97" t="s">
        <v>450</v>
      </c>
      <c r="B544" s="102" t="s">
        <v>712</v>
      </c>
      <c r="C544" s="102">
        <v>4</v>
      </c>
      <c r="D544" s="118">
        <v>0.01080879361419166</v>
      </c>
      <c r="E544" s="118">
        <v>1.0374264979406236</v>
      </c>
      <c r="F544" s="102" t="s">
        <v>2609</v>
      </c>
      <c r="G544" s="102" t="b">
        <v>0</v>
      </c>
      <c r="H544" s="102" t="b">
        <v>0</v>
      </c>
      <c r="I544" s="102" t="b">
        <v>0</v>
      </c>
      <c r="J544" s="102" t="b">
        <v>0</v>
      </c>
      <c r="K544" s="102" t="b">
        <v>0</v>
      </c>
      <c r="L544" s="102" t="b">
        <v>0</v>
      </c>
    </row>
    <row r="545" spans="1:12" ht="15">
      <c r="A545" s="97" t="s">
        <v>712</v>
      </c>
      <c r="B545" s="102" t="s">
        <v>2735</v>
      </c>
      <c r="C545" s="102">
        <v>4</v>
      </c>
      <c r="D545" s="118">
        <v>0.01080879361419166</v>
      </c>
      <c r="E545" s="118">
        <v>1.13433651094868</v>
      </c>
      <c r="F545" s="102" t="s">
        <v>2609</v>
      </c>
      <c r="G545" s="102" t="b">
        <v>0</v>
      </c>
      <c r="H545" s="102" t="b">
        <v>0</v>
      </c>
      <c r="I545" s="102" t="b">
        <v>0</v>
      </c>
      <c r="J545" s="102" t="b">
        <v>0</v>
      </c>
      <c r="K545" s="102" t="b">
        <v>1</v>
      </c>
      <c r="L545" s="102" t="b">
        <v>0</v>
      </c>
    </row>
    <row r="546" spans="1:12" ht="15">
      <c r="A546" s="97" t="s">
        <v>2736</v>
      </c>
      <c r="B546" s="102" t="s">
        <v>2770</v>
      </c>
      <c r="C546" s="102">
        <v>4</v>
      </c>
      <c r="D546" s="118">
        <v>0.01080879361419166</v>
      </c>
      <c r="E546" s="118">
        <v>1.9124877613323237</v>
      </c>
      <c r="F546" s="102" t="s">
        <v>2609</v>
      </c>
      <c r="G546" s="102" t="b">
        <v>0</v>
      </c>
      <c r="H546" s="102" t="b">
        <v>0</v>
      </c>
      <c r="I546" s="102" t="b">
        <v>0</v>
      </c>
      <c r="J546" s="102" t="b">
        <v>0</v>
      </c>
      <c r="K546" s="102" t="b">
        <v>0</v>
      </c>
      <c r="L546" s="102" t="b">
        <v>0</v>
      </c>
    </row>
    <row r="547" spans="1:12" ht="15">
      <c r="A547" s="97" t="s">
        <v>2770</v>
      </c>
      <c r="B547" s="102" t="s">
        <v>2771</v>
      </c>
      <c r="C547" s="102">
        <v>4</v>
      </c>
      <c r="D547" s="118">
        <v>0.01080879361419166</v>
      </c>
      <c r="E547" s="118">
        <v>1.9124877613323237</v>
      </c>
      <c r="F547" s="102" t="s">
        <v>2609</v>
      </c>
      <c r="G547" s="102" t="b">
        <v>0</v>
      </c>
      <c r="H547" s="102" t="b">
        <v>0</v>
      </c>
      <c r="I547" s="102" t="b">
        <v>0</v>
      </c>
      <c r="J547" s="102" t="b">
        <v>0</v>
      </c>
      <c r="K547" s="102" t="b">
        <v>0</v>
      </c>
      <c r="L547" s="102" t="b">
        <v>0</v>
      </c>
    </row>
    <row r="548" spans="1:12" ht="15">
      <c r="A548" s="97" t="s">
        <v>2771</v>
      </c>
      <c r="B548" s="102" t="s">
        <v>2747</v>
      </c>
      <c r="C548" s="102">
        <v>4</v>
      </c>
      <c r="D548" s="118">
        <v>0.01080879361419166</v>
      </c>
      <c r="E548" s="118">
        <v>1.9124877613323237</v>
      </c>
      <c r="F548" s="102" t="s">
        <v>2609</v>
      </c>
      <c r="G548" s="102" t="b">
        <v>0</v>
      </c>
      <c r="H548" s="102" t="b">
        <v>0</v>
      </c>
      <c r="I548" s="102" t="b">
        <v>0</v>
      </c>
      <c r="J548" s="102" t="b">
        <v>0</v>
      </c>
      <c r="K548" s="102" t="b">
        <v>0</v>
      </c>
      <c r="L548" s="102" t="b">
        <v>0</v>
      </c>
    </row>
    <row r="549" spans="1:12" ht="15">
      <c r="A549" s="97" t="s">
        <v>2747</v>
      </c>
      <c r="B549" s="102" t="s">
        <v>2772</v>
      </c>
      <c r="C549" s="102">
        <v>4</v>
      </c>
      <c r="D549" s="118">
        <v>0.01080879361419166</v>
      </c>
      <c r="E549" s="118">
        <v>1.9124877613323237</v>
      </c>
      <c r="F549" s="102" t="s">
        <v>2609</v>
      </c>
      <c r="G549" s="102" t="b">
        <v>0</v>
      </c>
      <c r="H549" s="102" t="b">
        <v>0</v>
      </c>
      <c r="I549" s="102" t="b">
        <v>0</v>
      </c>
      <c r="J549" s="102" t="b">
        <v>0</v>
      </c>
      <c r="K549" s="102" t="b">
        <v>0</v>
      </c>
      <c r="L549" s="102" t="b">
        <v>0</v>
      </c>
    </row>
    <row r="550" spans="1:12" ht="15">
      <c r="A550" s="97" t="s">
        <v>2772</v>
      </c>
      <c r="B550" s="102" t="s">
        <v>2773</v>
      </c>
      <c r="C550" s="102">
        <v>4</v>
      </c>
      <c r="D550" s="118">
        <v>0.01080879361419166</v>
      </c>
      <c r="E550" s="118">
        <v>1.9124877613323237</v>
      </c>
      <c r="F550" s="102" t="s">
        <v>2609</v>
      </c>
      <c r="G550" s="102" t="b">
        <v>0</v>
      </c>
      <c r="H550" s="102" t="b">
        <v>0</v>
      </c>
      <c r="I550" s="102" t="b">
        <v>0</v>
      </c>
      <c r="J550" s="102" t="b">
        <v>0</v>
      </c>
      <c r="K550" s="102" t="b">
        <v>0</v>
      </c>
      <c r="L550" s="102" t="b">
        <v>0</v>
      </c>
    </row>
    <row r="551" spans="1:12" ht="15">
      <c r="A551" s="97" t="s">
        <v>2773</v>
      </c>
      <c r="B551" s="102" t="s">
        <v>2774</v>
      </c>
      <c r="C551" s="102">
        <v>4</v>
      </c>
      <c r="D551" s="118">
        <v>0.01080879361419166</v>
      </c>
      <c r="E551" s="118">
        <v>1.9124877613323237</v>
      </c>
      <c r="F551" s="102" t="s">
        <v>2609</v>
      </c>
      <c r="G551" s="102" t="b">
        <v>0</v>
      </c>
      <c r="H551" s="102" t="b">
        <v>0</v>
      </c>
      <c r="I551" s="102" t="b">
        <v>0</v>
      </c>
      <c r="J551" s="102" t="b">
        <v>0</v>
      </c>
      <c r="K551" s="102" t="b">
        <v>0</v>
      </c>
      <c r="L551" s="102" t="b">
        <v>0</v>
      </c>
    </row>
    <row r="552" spans="1:12" ht="15">
      <c r="A552" s="97" t="s">
        <v>2774</v>
      </c>
      <c r="B552" s="102" t="s">
        <v>2775</v>
      </c>
      <c r="C552" s="102">
        <v>4</v>
      </c>
      <c r="D552" s="118">
        <v>0.01080879361419166</v>
      </c>
      <c r="E552" s="118">
        <v>1.9124877613323237</v>
      </c>
      <c r="F552" s="102" t="s">
        <v>2609</v>
      </c>
      <c r="G552" s="102" t="b">
        <v>0</v>
      </c>
      <c r="H552" s="102" t="b">
        <v>0</v>
      </c>
      <c r="I552" s="102" t="b">
        <v>0</v>
      </c>
      <c r="J552" s="102" t="b">
        <v>0</v>
      </c>
      <c r="K552" s="102" t="b">
        <v>0</v>
      </c>
      <c r="L552" s="102" t="b">
        <v>0</v>
      </c>
    </row>
    <row r="553" spans="1:12" ht="15">
      <c r="A553" s="97" t="s">
        <v>2775</v>
      </c>
      <c r="B553" s="102" t="s">
        <v>449</v>
      </c>
      <c r="C553" s="102">
        <v>4</v>
      </c>
      <c r="D553" s="118">
        <v>0.01080879361419166</v>
      </c>
      <c r="E553" s="118">
        <v>1.9124877613323237</v>
      </c>
      <c r="F553" s="102" t="s">
        <v>2609</v>
      </c>
      <c r="G553" s="102" t="b">
        <v>0</v>
      </c>
      <c r="H553" s="102" t="b">
        <v>0</v>
      </c>
      <c r="I553" s="102" t="b">
        <v>0</v>
      </c>
      <c r="J553" s="102" t="b">
        <v>0</v>
      </c>
      <c r="K553" s="102" t="b">
        <v>0</v>
      </c>
      <c r="L553" s="102" t="b">
        <v>0</v>
      </c>
    </row>
    <row r="554" spans="1:12" ht="15">
      <c r="A554" s="97" t="s">
        <v>449</v>
      </c>
      <c r="B554" s="102" t="s">
        <v>448</v>
      </c>
      <c r="C554" s="102">
        <v>4</v>
      </c>
      <c r="D554" s="118">
        <v>0.01080879361419166</v>
      </c>
      <c r="E554" s="118">
        <v>1.9124877613323237</v>
      </c>
      <c r="F554" s="102" t="s">
        <v>2609</v>
      </c>
      <c r="G554" s="102" t="b">
        <v>0</v>
      </c>
      <c r="H554" s="102" t="b">
        <v>0</v>
      </c>
      <c r="I554" s="102" t="b">
        <v>0</v>
      </c>
      <c r="J554" s="102" t="b">
        <v>0</v>
      </c>
      <c r="K554" s="102" t="b">
        <v>0</v>
      </c>
      <c r="L554" s="102" t="b">
        <v>0</v>
      </c>
    </row>
    <row r="555" spans="1:12" ht="15">
      <c r="A555" s="97" t="s">
        <v>448</v>
      </c>
      <c r="B555" s="102" t="s">
        <v>447</v>
      </c>
      <c r="C555" s="102">
        <v>4</v>
      </c>
      <c r="D555" s="118">
        <v>0.01080879361419166</v>
      </c>
      <c r="E555" s="118">
        <v>1.6694497126460293</v>
      </c>
      <c r="F555" s="102" t="s">
        <v>2609</v>
      </c>
      <c r="G555" s="102" t="b">
        <v>0</v>
      </c>
      <c r="H555" s="102" t="b">
        <v>0</v>
      </c>
      <c r="I555" s="102" t="b">
        <v>0</v>
      </c>
      <c r="J555" s="102" t="b">
        <v>0</v>
      </c>
      <c r="K555" s="102" t="b">
        <v>0</v>
      </c>
      <c r="L555" s="102" t="b">
        <v>0</v>
      </c>
    </row>
    <row r="556" spans="1:12" ht="15">
      <c r="A556" s="97" t="s">
        <v>447</v>
      </c>
      <c r="B556" s="102" t="s">
        <v>2776</v>
      </c>
      <c r="C556" s="102">
        <v>4</v>
      </c>
      <c r="D556" s="118">
        <v>0.01080879361419166</v>
      </c>
      <c r="E556" s="118">
        <v>1.9124877613323237</v>
      </c>
      <c r="F556" s="102" t="s">
        <v>2609</v>
      </c>
      <c r="G556" s="102" t="b">
        <v>0</v>
      </c>
      <c r="H556" s="102" t="b">
        <v>0</v>
      </c>
      <c r="I556" s="102" t="b">
        <v>0</v>
      </c>
      <c r="J556" s="102" t="b">
        <v>0</v>
      </c>
      <c r="K556" s="102" t="b">
        <v>0</v>
      </c>
      <c r="L556" s="102" t="b">
        <v>0</v>
      </c>
    </row>
    <row r="557" spans="1:12" ht="15">
      <c r="A557" s="97" t="s">
        <v>2816</v>
      </c>
      <c r="B557" s="102" t="s">
        <v>712</v>
      </c>
      <c r="C557" s="102">
        <v>3</v>
      </c>
      <c r="D557" s="118">
        <v>0.00913068321562981</v>
      </c>
      <c r="E557" s="118">
        <v>1.213517756996305</v>
      </c>
      <c r="F557" s="102" t="s">
        <v>2609</v>
      </c>
      <c r="G557" s="102" t="b">
        <v>0</v>
      </c>
      <c r="H557" s="102" t="b">
        <v>0</v>
      </c>
      <c r="I557" s="102" t="b">
        <v>0</v>
      </c>
      <c r="J557" s="102" t="b">
        <v>0</v>
      </c>
      <c r="K557" s="102" t="b">
        <v>0</v>
      </c>
      <c r="L557" s="102" t="b">
        <v>0</v>
      </c>
    </row>
    <row r="558" spans="1:12" ht="15">
      <c r="A558" s="97" t="s">
        <v>430</v>
      </c>
      <c r="B558" s="102" t="s">
        <v>712</v>
      </c>
      <c r="C558" s="102">
        <v>3</v>
      </c>
      <c r="D558" s="118">
        <v>0.00913068321562981</v>
      </c>
      <c r="E558" s="118">
        <v>1.213517756996305</v>
      </c>
      <c r="F558" s="102" t="s">
        <v>2609</v>
      </c>
      <c r="G558" s="102" t="b">
        <v>0</v>
      </c>
      <c r="H558" s="102" t="b">
        <v>0</v>
      </c>
      <c r="I558" s="102" t="b">
        <v>0</v>
      </c>
      <c r="J558" s="102" t="b">
        <v>0</v>
      </c>
      <c r="K558" s="102" t="b">
        <v>0</v>
      </c>
      <c r="L558" s="102" t="b">
        <v>0</v>
      </c>
    </row>
    <row r="559" spans="1:12" ht="15">
      <c r="A559" s="97" t="s">
        <v>712</v>
      </c>
      <c r="B559" s="102" t="s">
        <v>2661</v>
      </c>
      <c r="C559" s="102">
        <v>3</v>
      </c>
      <c r="D559" s="118">
        <v>0.00913068321562981</v>
      </c>
      <c r="E559" s="118">
        <v>1.1854890333960615</v>
      </c>
      <c r="F559" s="102" t="s">
        <v>2609</v>
      </c>
      <c r="G559" s="102" t="b">
        <v>0</v>
      </c>
      <c r="H559" s="102" t="b">
        <v>0</v>
      </c>
      <c r="I559" s="102" t="b">
        <v>0</v>
      </c>
      <c r="J559" s="102" t="b">
        <v>0</v>
      </c>
      <c r="K559" s="102" t="b">
        <v>0</v>
      </c>
      <c r="L559" s="102" t="b">
        <v>0</v>
      </c>
    </row>
    <row r="560" spans="1:12" ht="15">
      <c r="A560" s="97" t="s">
        <v>2661</v>
      </c>
      <c r="B560" s="102" t="s">
        <v>2660</v>
      </c>
      <c r="C560" s="102">
        <v>3</v>
      </c>
      <c r="D560" s="118">
        <v>0.00913068321562981</v>
      </c>
      <c r="E560" s="118">
        <v>1.13433651094868</v>
      </c>
      <c r="F560" s="102" t="s">
        <v>2609</v>
      </c>
      <c r="G560" s="102" t="b">
        <v>0</v>
      </c>
      <c r="H560" s="102" t="b">
        <v>0</v>
      </c>
      <c r="I560" s="102" t="b">
        <v>0</v>
      </c>
      <c r="J560" s="102" t="b">
        <v>0</v>
      </c>
      <c r="K560" s="102" t="b">
        <v>0</v>
      </c>
      <c r="L560" s="102" t="b">
        <v>0</v>
      </c>
    </row>
    <row r="561" spans="1:12" ht="15">
      <c r="A561" s="97" t="s">
        <v>2660</v>
      </c>
      <c r="B561" s="102" t="s">
        <v>2673</v>
      </c>
      <c r="C561" s="102">
        <v>3</v>
      </c>
      <c r="D561" s="118">
        <v>0.00913068321562981</v>
      </c>
      <c r="E561" s="118">
        <v>1.13433651094868</v>
      </c>
      <c r="F561" s="102" t="s">
        <v>2609</v>
      </c>
      <c r="G561" s="102" t="b">
        <v>0</v>
      </c>
      <c r="H561" s="102" t="b">
        <v>0</v>
      </c>
      <c r="I561" s="102" t="b">
        <v>0</v>
      </c>
      <c r="J561" s="102" t="b">
        <v>0</v>
      </c>
      <c r="K561" s="102" t="b">
        <v>0</v>
      </c>
      <c r="L561" s="102" t="b">
        <v>0</v>
      </c>
    </row>
    <row r="562" spans="1:12" ht="15">
      <c r="A562" s="97" t="s">
        <v>2673</v>
      </c>
      <c r="B562" s="102" t="s">
        <v>2683</v>
      </c>
      <c r="C562" s="102">
        <v>3</v>
      </c>
      <c r="D562" s="118">
        <v>0.00913068321562981</v>
      </c>
      <c r="E562" s="118">
        <v>1.9124877613323237</v>
      </c>
      <c r="F562" s="102" t="s">
        <v>2609</v>
      </c>
      <c r="G562" s="102" t="b">
        <v>0</v>
      </c>
      <c r="H562" s="102" t="b">
        <v>0</v>
      </c>
      <c r="I562" s="102" t="b">
        <v>0</v>
      </c>
      <c r="J562" s="102" t="b">
        <v>0</v>
      </c>
      <c r="K562" s="102" t="b">
        <v>0</v>
      </c>
      <c r="L562" s="102" t="b">
        <v>0</v>
      </c>
    </row>
    <row r="563" spans="1:12" ht="15">
      <c r="A563" s="97" t="s">
        <v>450</v>
      </c>
      <c r="B563" s="102" t="s">
        <v>2709</v>
      </c>
      <c r="C563" s="102">
        <v>2</v>
      </c>
      <c r="D563" s="118">
        <v>0.007049369460997367</v>
      </c>
      <c r="E563" s="118">
        <v>1.4353665066126613</v>
      </c>
      <c r="F563" s="102" t="s">
        <v>2609</v>
      </c>
      <c r="G563" s="102" t="b">
        <v>0</v>
      </c>
      <c r="H563" s="102" t="b">
        <v>0</v>
      </c>
      <c r="I563" s="102" t="b">
        <v>0</v>
      </c>
      <c r="J563" s="102" t="b">
        <v>0</v>
      </c>
      <c r="K563" s="102" t="b">
        <v>0</v>
      </c>
      <c r="L563" s="102" t="b">
        <v>0</v>
      </c>
    </row>
    <row r="564" spans="1:12" ht="15">
      <c r="A564" s="97" t="s">
        <v>2709</v>
      </c>
      <c r="B564" s="102" t="s">
        <v>2873</v>
      </c>
      <c r="C564" s="102">
        <v>2</v>
      </c>
      <c r="D564" s="118">
        <v>0.007049369460997367</v>
      </c>
      <c r="E564" s="118">
        <v>1.9124877613323237</v>
      </c>
      <c r="F564" s="102" t="s">
        <v>2609</v>
      </c>
      <c r="G564" s="102" t="b">
        <v>0</v>
      </c>
      <c r="H564" s="102" t="b">
        <v>0</v>
      </c>
      <c r="I564" s="102" t="b">
        <v>0</v>
      </c>
      <c r="J564" s="102" t="b">
        <v>0</v>
      </c>
      <c r="K564" s="102" t="b">
        <v>0</v>
      </c>
      <c r="L564" s="102" t="b">
        <v>0</v>
      </c>
    </row>
    <row r="565" spans="1:12" ht="15">
      <c r="A565" s="97" t="s">
        <v>2873</v>
      </c>
      <c r="B565" s="102" t="s">
        <v>3009</v>
      </c>
      <c r="C565" s="102">
        <v>2</v>
      </c>
      <c r="D565" s="118">
        <v>0.007049369460997367</v>
      </c>
      <c r="E565" s="118">
        <v>2.2135177569963047</v>
      </c>
      <c r="F565" s="102" t="s">
        <v>2609</v>
      </c>
      <c r="G565" s="102" t="b">
        <v>0</v>
      </c>
      <c r="H565" s="102" t="b">
        <v>0</v>
      </c>
      <c r="I565" s="102" t="b">
        <v>0</v>
      </c>
      <c r="J565" s="102" t="b">
        <v>0</v>
      </c>
      <c r="K565" s="102" t="b">
        <v>0</v>
      </c>
      <c r="L565" s="102" t="b">
        <v>0</v>
      </c>
    </row>
    <row r="566" spans="1:12" ht="15">
      <c r="A566" s="97" t="s">
        <v>3009</v>
      </c>
      <c r="B566" s="102" t="s">
        <v>3010</v>
      </c>
      <c r="C566" s="102">
        <v>2</v>
      </c>
      <c r="D566" s="118">
        <v>0.007049369460997367</v>
      </c>
      <c r="E566" s="118">
        <v>2.2135177569963047</v>
      </c>
      <c r="F566" s="102" t="s">
        <v>2609</v>
      </c>
      <c r="G566" s="102" t="b">
        <v>0</v>
      </c>
      <c r="H566" s="102" t="b">
        <v>0</v>
      </c>
      <c r="I566" s="102" t="b">
        <v>0</v>
      </c>
      <c r="J566" s="102" t="b">
        <v>0</v>
      </c>
      <c r="K566" s="102" t="b">
        <v>0</v>
      </c>
      <c r="L566" s="102" t="b">
        <v>0</v>
      </c>
    </row>
    <row r="567" spans="1:12" ht="15">
      <c r="A567" s="97" t="s">
        <v>3010</v>
      </c>
      <c r="B567" s="102" t="s">
        <v>3011</v>
      </c>
      <c r="C567" s="102">
        <v>2</v>
      </c>
      <c r="D567" s="118">
        <v>0.007049369460997367</v>
      </c>
      <c r="E567" s="118">
        <v>2.2135177569963047</v>
      </c>
      <c r="F567" s="102" t="s">
        <v>2609</v>
      </c>
      <c r="G567" s="102" t="b">
        <v>0</v>
      </c>
      <c r="H567" s="102" t="b">
        <v>0</v>
      </c>
      <c r="I567" s="102" t="b">
        <v>0</v>
      </c>
      <c r="J567" s="102" t="b">
        <v>0</v>
      </c>
      <c r="K567" s="102" t="b">
        <v>0</v>
      </c>
      <c r="L567" s="102" t="b">
        <v>0</v>
      </c>
    </row>
    <row r="568" spans="1:12" ht="15">
      <c r="A568" s="97" t="s">
        <v>3011</v>
      </c>
      <c r="B568" s="102" t="s">
        <v>3012</v>
      </c>
      <c r="C568" s="102">
        <v>2</v>
      </c>
      <c r="D568" s="118">
        <v>0.007049369460997367</v>
      </c>
      <c r="E568" s="118">
        <v>2.2135177569963047</v>
      </c>
      <c r="F568" s="102" t="s">
        <v>2609</v>
      </c>
      <c r="G568" s="102" t="b">
        <v>0</v>
      </c>
      <c r="H568" s="102" t="b">
        <v>0</v>
      </c>
      <c r="I568" s="102" t="b">
        <v>0</v>
      </c>
      <c r="J568" s="102" t="b">
        <v>0</v>
      </c>
      <c r="K568" s="102" t="b">
        <v>0</v>
      </c>
      <c r="L568" s="102" t="b">
        <v>0</v>
      </c>
    </row>
    <row r="569" spans="1:12" ht="15">
      <c r="A569" s="97" t="s">
        <v>3012</v>
      </c>
      <c r="B569" s="102" t="s">
        <v>2743</v>
      </c>
      <c r="C569" s="102">
        <v>2</v>
      </c>
      <c r="D569" s="118">
        <v>0.007049369460997367</v>
      </c>
      <c r="E569" s="118">
        <v>1.9124877613323237</v>
      </c>
      <c r="F569" s="102" t="s">
        <v>2609</v>
      </c>
      <c r="G569" s="102" t="b">
        <v>0</v>
      </c>
      <c r="H569" s="102" t="b">
        <v>0</v>
      </c>
      <c r="I569" s="102" t="b">
        <v>0</v>
      </c>
      <c r="J569" s="102" t="b">
        <v>0</v>
      </c>
      <c r="K569" s="102" t="b">
        <v>0</v>
      </c>
      <c r="L569" s="102" t="b">
        <v>0</v>
      </c>
    </row>
    <row r="570" spans="1:12" ht="15">
      <c r="A570" s="97" t="s">
        <v>2743</v>
      </c>
      <c r="B570" s="102" t="s">
        <v>3013</v>
      </c>
      <c r="C570" s="102">
        <v>2</v>
      </c>
      <c r="D570" s="118">
        <v>0.007049369460997367</v>
      </c>
      <c r="E570" s="118">
        <v>1.9124877613323237</v>
      </c>
      <c r="F570" s="102" t="s">
        <v>2609</v>
      </c>
      <c r="G570" s="102" t="b">
        <v>0</v>
      </c>
      <c r="H570" s="102" t="b">
        <v>0</v>
      </c>
      <c r="I570" s="102" t="b">
        <v>0</v>
      </c>
      <c r="J570" s="102" t="b">
        <v>0</v>
      </c>
      <c r="K570" s="102" t="b">
        <v>0</v>
      </c>
      <c r="L570" s="102" t="b">
        <v>0</v>
      </c>
    </row>
    <row r="571" spans="1:12" ht="15">
      <c r="A571" s="97" t="s">
        <v>3013</v>
      </c>
      <c r="B571" s="102" t="s">
        <v>3014</v>
      </c>
      <c r="C571" s="102">
        <v>2</v>
      </c>
      <c r="D571" s="118">
        <v>0.007049369460997367</v>
      </c>
      <c r="E571" s="118">
        <v>2.2135177569963047</v>
      </c>
      <c r="F571" s="102" t="s">
        <v>2609</v>
      </c>
      <c r="G571" s="102" t="b">
        <v>0</v>
      </c>
      <c r="H571" s="102" t="b">
        <v>0</v>
      </c>
      <c r="I571" s="102" t="b">
        <v>0</v>
      </c>
      <c r="J571" s="102" t="b">
        <v>0</v>
      </c>
      <c r="K571" s="102" t="b">
        <v>0</v>
      </c>
      <c r="L571" s="102" t="b">
        <v>0</v>
      </c>
    </row>
    <row r="572" spans="1:12" ht="15">
      <c r="A572" s="97" t="s">
        <v>3014</v>
      </c>
      <c r="B572" s="102" t="s">
        <v>2709</v>
      </c>
      <c r="C572" s="102">
        <v>2</v>
      </c>
      <c r="D572" s="118">
        <v>0.007049369460997367</v>
      </c>
      <c r="E572" s="118">
        <v>1.9124877613323237</v>
      </c>
      <c r="F572" s="102" t="s">
        <v>2609</v>
      </c>
      <c r="G572" s="102" t="b">
        <v>0</v>
      </c>
      <c r="H572" s="102" t="b">
        <v>0</v>
      </c>
      <c r="I572" s="102" t="b">
        <v>0</v>
      </c>
      <c r="J572" s="102" t="b">
        <v>0</v>
      </c>
      <c r="K572" s="102" t="b">
        <v>0</v>
      </c>
      <c r="L572" s="102" t="b">
        <v>0</v>
      </c>
    </row>
    <row r="573" spans="1:12" ht="15">
      <c r="A573" s="97" t="s">
        <v>2709</v>
      </c>
      <c r="B573" s="102" t="s">
        <v>2706</v>
      </c>
      <c r="C573" s="102">
        <v>2</v>
      </c>
      <c r="D573" s="118">
        <v>0.007049369460997367</v>
      </c>
      <c r="E573" s="118">
        <v>1.9124877613323237</v>
      </c>
      <c r="F573" s="102" t="s">
        <v>2609</v>
      </c>
      <c r="G573" s="102" t="b">
        <v>0</v>
      </c>
      <c r="H573" s="102" t="b">
        <v>0</v>
      </c>
      <c r="I573" s="102" t="b">
        <v>0</v>
      </c>
      <c r="J573" s="102" t="b">
        <v>0</v>
      </c>
      <c r="K573" s="102" t="b">
        <v>0</v>
      </c>
      <c r="L573" s="102" t="b">
        <v>0</v>
      </c>
    </row>
    <row r="574" spans="1:12" ht="15">
      <c r="A574" s="97" t="s">
        <v>2706</v>
      </c>
      <c r="B574" s="102" t="s">
        <v>2743</v>
      </c>
      <c r="C574" s="102">
        <v>2</v>
      </c>
      <c r="D574" s="118">
        <v>0.007049369460997367</v>
      </c>
      <c r="E574" s="118">
        <v>1.9124877613323237</v>
      </c>
      <c r="F574" s="102" t="s">
        <v>2609</v>
      </c>
      <c r="G574" s="102" t="b">
        <v>0</v>
      </c>
      <c r="H574" s="102" t="b">
        <v>0</v>
      </c>
      <c r="I574" s="102" t="b">
        <v>0</v>
      </c>
      <c r="J574" s="102" t="b">
        <v>0</v>
      </c>
      <c r="K574" s="102" t="b">
        <v>0</v>
      </c>
      <c r="L574" s="102" t="b">
        <v>0</v>
      </c>
    </row>
    <row r="575" spans="1:12" ht="15">
      <c r="A575" s="97" t="s">
        <v>2743</v>
      </c>
      <c r="B575" s="102" t="s">
        <v>3015</v>
      </c>
      <c r="C575" s="102">
        <v>2</v>
      </c>
      <c r="D575" s="118">
        <v>0.007049369460997367</v>
      </c>
      <c r="E575" s="118">
        <v>1.9124877613323237</v>
      </c>
      <c r="F575" s="102" t="s">
        <v>2609</v>
      </c>
      <c r="G575" s="102" t="b">
        <v>0</v>
      </c>
      <c r="H575" s="102" t="b">
        <v>0</v>
      </c>
      <c r="I575" s="102" t="b">
        <v>0</v>
      </c>
      <c r="J575" s="102" t="b">
        <v>0</v>
      </c>
      <c r="K575" s="102" t="b">
        <v>0</v>
      </c>
      <c r="L575" s="102" t="b">
        <v>0</v>
      </c>
    </row>
    <row r="576" spans="1:12" ht="15">
      <c r="A576" s="97" t="s">
        <v>3015</v>
      </c>
      <c r="B576" s="102" t="s">
        <v>712</v>
      </c>
      <c r="C576" s="102">
        <v>2</v>
      </c>
      <c r="D576" s="118">
        <v>0.007049369460997367</v>
      </c>
      <c r="E576" s="118">
        <v>1.213517756996305</v>
      </c>
      <c r="F576" s="102" t="s">
        <v>2609</v>
      </c>
      <c r="G576" s="102" t="b">
        <v>0</v>
      </c>
      <c r="H576" s="102" t="b">
        <v>0</v>
      </c>
      <c r="I576" s="102" t="b">
        <v>0</v>
      </c>
      <c r="J576" s="102" t="b">
        <v>0</v>
      </c>
      <c r="K576" s="102" t="b">
        <v>0</v>
      </c>
      <c r="L576" s="102" t="b">
        <v>0</v>
      </c>
    </row>
    <row r="577" spans="1:12" ht="15">
      <c r="A577" s="97" t="s">
        <v>712</v>
      </c>
      <c r="B577" s="102" t="s">
        <v>3016</v>
      </c>
      <c r="C577" s="102">
        <v>2</v>
      </c>
      <c r="D577" s="118">
        <v>0.007049369460997367</v>
      </c>
      <c r="E577" s="118">
        <v>1.3104277700043614</v>
      </c>
      <c r="F577" s="102" t="s">
        <v>2609</v>
      </c>
      <c r="G577" s="102" t="b">
        <v>0</v>
      </c>
      <c r="H577" s="102" t="b">
        <v>0</v>
      </c>
      <c r="I577" s="102" t="b">
        <v>0</v>
      </c>
      <c r="J577" s="102" t="b">
        <v>0</v>
      </c>
      <c r="K577" s="102" t="b">
        <v>0</v>
      </c>
      <c r="L577" s="102" t="b">
        <v>0</v>
      </c>
    </row>
    <row r="578" spans="1:12" ht="15">
      <c r="A578" s="97" t="s">
        <v>3016</v>
      </c>
      <c r="B578" s="102" t="s">
        <v>2735</v>
      </c>
      <c r="C578" s="102">
        <v>2</v>
      </c>
      <c r="D578" s="118">
        <v>0.007049369460997367</v>
      </c>
      <c r="E578" s="118">
        <v>1.7363965022766423</v>
      </c>
      <c r="F578" s="102" t="s">
        <v>2609</v>
      </c>
      <c r="G578" s="102" t="b">
        <v>0</v>
      </c>
      <c r="H578" s="102" t="b">
        <v>0</v>
      </c>
      <c r="I578" s="102" t="b">
        <v>0</v>
      </c>
      <c r="J578" s="102" t="b">
        <v>0</v>
      </c>
      <c r="K578" s="102" t="b">
        <v>1</v>
      </c>
      <c r="L578" s="102" t="b">
        <v>0</v>
      </c>
    </row>
    <row r="579" spans="1:12" ht="15">
      <c r="A579" s="97" t="s">
        <v>368</v>
      </c>
      <c r="B579" s="102" t="s">
        <v>324</v>
      </c>
      <c r="C579" s="102">
        <v>2</v>
      </c>
      <c r="D579" s="118">
        <v>0.007049369460997367</v>
      </c>
      <c r="E579" s="118">
        <v>2.0374264979406234</v>
      </c>
      <c r="F579" s="102" t="s">
        <v>2609</v>
      </c>
      <c r="G579" s="102" t="b">
        <v>0</v>
      </c>
      <c r="H579" s="102" t="b">
        <v>0</v>
      </c>
      <c r="I579" s="102" t="b">
        <v>0</v>
      </c>
      <c r="J579" s="102" t="b">
        <v>0</v>
      </c>
      <c r="K579" s="102" t="b">
        <v>0</v>
      </c>
      <c r="L579" s="102" t="b">
        <v>0</v>
      </c>
    </row>
    <row r="580" spans="1:12" ht="15">
      <c r="A580" s="97" t="s">
        <v>324</v>
      </c>
      <c r="B580" s="102" t="s">
        <v>431</v>
      </c>
      <c r="C580" s="102">
        <v>2</v>
      </c>
      <c r="D580" s="118">
        <v>0.007049369460997367</v>
      </c>
      <c r="E580" s="118">
        <v>1.25927524755698</v>
      </c>
      <c r="F580" s="102" t="s">
        <v>2609</v>
      </c>
      <c r="G580" s="102" t="b">
        <v>0</v>
      </c>
      <c r="H580" s="102" t="b">
        <v>0</v>
      </c>
      <c r="I580" s="102" t="b">
        <v>0</v>
      </c>
      <c r="J580" s="102" t="b">
        <v>0</v>
      </c>
      <c r="K580" s="102" t="b">
        <v>0</v>
      </c>
      <c r="L580" s="102" t="b">
        <v>0</v>
      </c>
    </row>
    <row r="581" spans="1:12" ht="15">
      <c r="A581" s="97" t="s">
        <v>448</v>
      </c>
      <c r="B581" s="102" t="s">
        <v>2816</v>
      </c>
      <c r="C581" s="102">
        <v>2</v>
      </c>
      <c r="D581" s="118">
        <v>0.007049369460997367</v>
      </c>
      <c r="E581" s="118">
        <v>1.493358453590348</v>
      </c>
      <c r="F581" s="102" t="s">
        <v>2609</v>
      </c>
      <c r="G581" s="102" t="b">
        <v>0</v>
      </c>
      <c r="H581" s="102" t="b">
        <v>0</v>
      </c>
      <c r="I581" s="102" t="b">
        <v>0</v>
      </c>
      <c r="J581" s="102" t="b">
        <v>0</v>
      </c>
      <c r="K581" s="102" t="b">
        <v>0</v>
      </c>
      <c r="L581" s="102" t="b">
        <v>0</v>
      </c>
    </row>
    <row r="582" spans="1:12" ht="15">
      <c r="A582" s="97" t="s">
        <v>712</v>
      </c>
      <c r="B582" s="102" t="s">
        <v>2964</v>
      </c>
      <c r="C582" s="102">
        <v>2</v>
      </c>
      <c r="D582" s="118">
        <v>0.007049369460997367</v>
      </c>
      <c r="E582" s="118">
        <v>1.3104277700043614</v>
      </c>
      <c r="F582" s="102" t="s">
        <v>2609</v>
      </c>
      <c r="G582" s="102" t="b">
        <v>0</v>
      </c>
      <c r="H582" s="102" t="b">
        <v>0</v>
      </c>
      <c r="I582" s="102" t="b">
        <v>0</v>
      </c>
      <c r="J582" s="102" t="b">
        <v>0</v>
      </c>
      <c r="K582" s="102" t="b">
        <v>0</v>
      </c>
      <c r="L582" s="102" t="b">
        <v>0</v>
      </c>
    </row>
    <row r="583" spans="1:12" ht="15">
      <c r="A583" s="97" t="s">
        <v>2964</v>
      </c>
      <c r="B583" s="102" t="s">
        <v>2965</v>
      </c>
      <c r="C583" s="102">
        <v>2</v>
      </c>
      <c r="D583" s="118">
        <v>0.007049369460997367</v>
      </c>
      <c r="E583" s="118">
        <v>2.2135177569963047</v>
      </c>
      <c r="F583" s="102" t="s">
        <v>2609</v>
      </c>
      <c r="G583" s="102" t="b">
        <v>0</v>
      </c>
      <c r="H583" s="102" t="b">
        <v>0</v>
      </c>
      <c r="I583" s="102" t="b">
        <v>0</v>
      </c>
      <c r="J583" s="102" t="b">
        <v>0</v>
      </c>
      <c r="K583" s="102" t="b">
        <v>0</v>
      </c>
      <c r="L583" s="102" t="b">
        <v>0</v>
      </c>
    </row>
    <row r="584" spans="1:12" ht="15">
      <c r="A584" s="97" t="s">
        <v>2965</v>
      </c>
      <c r="B584" s="102" t="s">
        <v>2966</v>
      </c>
      <c r="C584" s="102">
        <v>2</v>
      </c>
      <c r="D584" s="118">
        <v>0.007049369460997367</v>
      </c>
      <c r="E584" s="118">
        <v>2.2135177569963047</v>
      </c>
      <c r="F584" s="102" t="s">
        <v>2609</v>
      </c>
      <c r="G584" s="102" t="b">
        <v>0</v>
      </c>
      <c r="H584" s="102" t="b">
        <v>0</v>
      </c>
      <c r="I584" s="102" t="b">
        <v>0</v>
      </c>
      <c r="J584" s="102" t="b">
        <v>0</v>
      </c>
      <c r="K584" s="102" t="b">
        <v>0</v>
      </c>
      <c r="L584" s="102" t="b">
        <v>0</v>
      </c>
    </row>
    <row r="585" spans="1:12" ht="15">
      <c r="A585" s="97" t="s">
        <v>2966</v>
      </c>
      <c r="B585" s="102" t="s">
        <v>2739</v>
      </c>
      <c r="C585" s="102">
        <v>2</v>
      </c>
      <c r="D585" s="118">
        <v>0.007049369460997367</v>
      </c>
      <c r="E585" s="118">
        <v>1.9124877613323237</v>
      </c>
      <c r="F585" s="102" t="s">
        <v>2609</v>
      </c>
      <c r="G585" s="102" t="b">
        <v>0</v>
      </c>
      <c r="H585" s="102" t="b">
        <v>0</v>
      </c>
      <c r="I585" s="102" t="b">
        <v>0</v>
      </c>
      <c r="J585" s="102" t="b">
        <v>0</v>
      </c>
      <c r="K585" s="102" t="b">
        <v>0</v>
      </c>
      <c r="L585" s="102" t="b">
        <v>0</v>
      </c>
    </row>
    <row r="586" spans="1:12" ht="15">
      <c r="A586" s="97" t="s">
        <v>2739</v>
      </c>
      <c r="B586" s="102" t="s">
        <v>2841</v>
      </c>
      <c r="C586" s="102">
        <v>2</v>
      </c>
      <c r="D586" s="118">
        <v>0.007049369460997367</v>
      </c>
      <c r="E586" s="118">
        <v>2.2135177569963047</v>
      </c>
      <c r="F586" s="102" t="s">
        <v>2609</v>
      </c>
      <c r="G586" s="102" t="b">
        <v>0</v>
      </c>
      <c r="H586" s="102" t="b">
        <v>0</v>
      </c>
      <c r="I586" s="102" t="b">
        <v>0</v>
      </c>
      <c r="J586" s="102" t="b">
        <v>0</v>
      </c>
      <c r="K586" s="102" t="b">
        <v>0</v>
      </c>
      <c r="L586" s="102" t="b">
        <v>0</v>
      </c>
    </row>
    <row r="587" spans="1:12" ht="15">
      <c r="A587" s="97" t="s">
        <v>2841</v>
      </c>
      <c r="B587" s="102" t="s">
        <v>2739</v>
      </c>
      <c r="C587" s="102">
        <v>2</v>
      </c>
      <c r="D587" s="118">
        <v>0.007049369460997367</v>
      </c>
      <c r="E587" s="118">
        <v>1.9124877613323237</v>
      </c>
      <c r="F587" s="102" t="s">
        <v>2609</v>
      </c>
      <c r="G587" s="102" t="b">
        <v>0</v>
      </c>
      <c r="H587" s="102" t="b">
        <v>0</v>
      </c>
      <c r="I587" s="102" t="b">
        <v>0</v>
      </c>
      <c r="J587" s="102" t="b">
        <v>0</v>
      </c>
      <c r="K587" s="102" t="b">
        <v>0</v>
      </c>
      <c r="L587" s="102" t="b">
        <v>0</v>
      </c>
    </row>
    <row r="588" spans="1:12" ht="15">
      <c r="A588" s="97" t="s">
        <v>385</v>
      </c>
      <c r="B588" s="102" t="s">
        <v>494</v>
      </c>
      <c r="C588" s="102">
        <v>2</v>
      </c>
      <c r="D588" s="118">
        <v>0.007049369460997367</v>
      </c>
      <c r="E588" s="118">
        <v>2.0374264979406234</v>
      </c>
      <c r="F588" s="102" t="s">
        <v>2609</v>
      </c>
      <c r="G588" s="102" t="b">
        <v>0</v>
      </c>
      <c r="H588" s="102" t="b">
        <v>0</v>
      </c>
      <c r="I588" s="102" t="b">
        <v>0</v>
      </c>
      <c r="J588" s="102" t="b">
        <v>0</v>
      </c>
      <c r="K588" s="102" t="b">
        <v>0</v>
      </c>
      <c r="L588" s="102" t="b">
        <v>0</v>
      </c>
    </row>
    <row r="589" spans="1:12" ht="15">
      <c r="A589" s="97" t="s">
        <v>494</v>
      </c>
      <c r="B589" s="102" t="s">
        <v>712</v>
      </c>
      <c r="C589" s="102">
        <v>2</v>
      </c>
      <c r="D589" s="118">
        <v>0.007049369460997367</v>
      </c>
      <c r="E589" s="118">
        <v>1.213517756996305</v>
      </c>
      <c r="F589" s="102" t="s">
        <v>2609</v>
      </c>
      <c r="G589" s="102" t="b">
        <v>0</v>
      </c>
      <c r="H589" s="102" t="b">
        <v>0</v>
      </c>
      <c r="I589" s="102" t="b">
        <v>0</v>
      </c>
      <c r="J589" s="102" t="b">
        <v>0</v>
      </c>
      <c r="K589" s="102" t="b">
        <v>0</v>
      </c>
      <c r="L589" s="102" t="b">
        <v>0</v>
      </c>
    </row>
    <row r="590" spans="1:12" ht="15">
      <c r="A590" s="97" t="s">
        <v>390</v>
      </c>
      <c r="B590" s="102" t="s">
        <v>712</v>
      </c>
      <c r="C590" s="102">
        <v>2</v>
      </c>
      <c r="D590" s="118">
        <v>0.007049369460997367</v>
      </c>
      <c r="E590" s="118">
        <v>1.213517756996305</v>
      </c>
      <c r="F590" s="102" t="s">
        <v>2609</v>
      </c>
      <c r="G590" s="102" t="b">
        <v>0</v>
      </c>
      <c r="H590" s="102" t="b">
        <v>0</v>
      </c>
      <c r="I590" s="102" t="b">
        <v>0</v>
      </c>
      <c r="J590" s="102" t="b">
        <v>0</v>
      </c>
      <c r="K590" s="102" t="b">
        <v>0</v>
      </c>
      <c r="L590" s="102" t="b">
        <v>0</v>
      </c>
    </row>
    <row r="591" spans="1:12" ht="15">
      <c r="A591" s="97" t="s">
        <v>2870</v>
      </c>
      <c r="B591" s="102" t="s">
        <v>2989</v>
      </c>
      <c r="C591" s="102">
        <v>2</v>
      </c>
      <c r="D591" s="118">
        <v>0.007049369460997367</v>
      </c>
      <c r="E591" s="118">
        <v>2.2135177569963047</v>
      </c>
      <c r="F591" s="102" t="s">
        <v>2609</v>
      </c>
      <c r="G591" s="102" t="b">
        <v>0</v>
      </c>
      <c r="H591" s="102" t="b">
        <v>0</v>
      </c>
      <c r="I591" s="102" t="b">
        <v>0</v>
      </c>
      <c r="J591" s="102" t="b">
        <v>0</v>
      </c>
      <c r="K591" s="102" t="b">
        <v>0</v>
      </c>
      <c r="L591" s="102" t="b">
        <v>0</v>
      </c>
    </row>
    <row r="592" spans="1:12" ht="15">
      <c r="A592" s="97" t="s">
        <v>2989</v>
      </c>
      <c r="B592" s="102" t="s">
        <v>2990</v>
      </c>
      <c r="C592" s="102">
        <v>2</v>
      </c>
      <c r="D592" s="118">
        <v>0.007049369460997367</v>
      </c>
      <c r="E592" s="118">
        <v>2.2135177569963047</v>
      </c>
      <c r="F592" s="102" t="s">
        <v>2609</v>
      </c>
      <c r="G592" s="102" t="b">
        <v>0</v>
      </c>
      <c r="H592" s="102" t="b">
        <v>0</v>
      </c>
      <c r="I592" s="102" t="b">
        <v>0</v>
      </c>
      <c r="J592" s="102" t="b">
        <v>0</v>
      </c>
      <c r="K592" s="102" t="b">
        <v>0</v>
      </c>
      <c r="L592" s="102" t="b">
        <v>0</v>
      </c>
    </row>
    <row r="593" spans="1:12" ht="15">
      <c r="A593" s="97" t="s">
        <v>2990</v>
      </c>
      <c r="B593" s="102" t="s">
        <v>2871</v>
      </c>
      <c r="C593" s="102">
        <v>2</v>
      </c>
      <c r="D593" s="118">
        <v>0.007049369460997367</v>
      </c>
      <c r="E593" s="118">
        <v>2.2135177569963047</v>
      </c>
      <c r="F593" s="102" t="s">
        <v>2609</v>
      </c>
      <c r="G593" s="102" t="b">
        <v>0</v>
      </c>
      <c r="H593" s="102" t="b">
        <v>0</v>
      </c>
      <c r="I593" s="102" t="b">
        <v>0</v>
      </c>
      <c r="J593" s="102" t="b">
        <v>0</v>
      </c>
      <c r="K593" s="102" t="b">
        <v>0</v>
      </c>
      <c r="L593" s="102" t="b">
        <v>0</v>
      </c>
    </row>
    <row r="594" spans="1:12" ht="15">
      <c r="A594" s="97" t="s">
        <v>2871</v>
      </c>
      <c r="B594" s="102" t="s">
        <v>2991</v>
      </c>
      <c r="C594" s="102">
        <v>2</v>
      </c>
      <c r="D594" s="118">
        <v>0.007049369460997367</v>
      </c>
      <c r="E594" s="118">
        <v>2.2135177569963047</v>
      </c>
      <c r="F594" s="102" t="s">
        <v>2609</v>
      </c>
      <c r="G594" s="102" t="b">
        <v>0</v>
      </c>
      <c r="H594" s="102" t="b">
        <v>0</v>
      </c>
      <c r="I594" s="102" t="b">
        <v>0</v>
      </c>
      <c r="J594" s="102" t="b">
        <v>0</v>
      </c>
      <c r="K594" s="102" t="b">
        <v>0</v>
      </c>
      <c r="L594" s="102" t="b">
        <v>0</v>
      </c>
    </row>
    <row r="595" spans="1:12" ht="15">
      <c r="A595" s="97" t="s">
        <v>2991</v>
      </c>
      <c r="B595" s="102" t="s">
        <v>2730</v>
      </c>
      <c r="C595" s="102">
        <v>2</v>
      </c>
      <c r="D595" s="118">
        <v>0.007049369460997367</v>
      </c>
      <c r="E595" s="118">
        <v>2.2135177569963047</v>
      </c>
      <c r="F595" s="102" t="s">
        <v>2609</v>
      </c>
      <c r="G595" s="102" t="b">
        <v>0</v>
      </c>
      <c r="H595" s="102" t="b">
        <v>0</v>
      </c>
      <c r="I595" s="102" t="b">
        <v>0</v>
      </c>
      <c r="J595" s="102" t="b">
        <v>0</v>
      </c>
      <c r="K595" s="102" t="b">
        <v>0</v>
      </c>
      <c r="L595" s="102" t="b">
        <v>0</v>
      </c>
    </row>
    <row r="596" spans="1:12" ht="15">
      <c r="A596" s="97" t="s">
        <v>2730</v>
      </c>
      <c r="B596" s="102" t="s">
        <v>2992</v>
      </c>
      <c r="C596" s="102">
        <v>2</v>
      </c>
      <c r="D596" s="118">
        <v>0.007049369460997367</v>
      </c>
      <c r="E596" s="118">
        <v>2.2135177569963047</v>
      </c>
      <c r="F596" s="102" t="s">
        <v>2609</v>
      </c>
      <c r="G596" s="102" t="b">
        <v>0</v>
      </c>
      <c r="H596" s="102" t="b">
        <v>0</v>
      </c>
      <c r="I596" s="102" t="b">
        <v>0</v>
      </c>
      <c r="J596" s="102" t="b">
        <v>0</v>
      </c>
      <c r="K596" s="102" t="b">
        <v>0</v>
      </c>
      <c r="L596" s="102" t="b">
        <v>0</v>
      </c>
    </row>
    <row r="597" spans="1:12" ht="15">
      <c r="A597" s="97" t="s">
        <v>2992</v>
      </c>
      <c r="B597" s="102" t="s">
        <v>712</v>
      </c>
      <c r="C597" s="102">
        <v>2</v>
      </c>
      <c r="D597" s="118">
        <v>0.007049369460997367</v>
      </c>
      <c r="E597" s="118">
        <v>1.213517756996305</v>
      </c>
      <c r="F597" s="102" t="s">
        <v>2609</v>
      </c>
      <c r="G597" s="102" t="b">
        <v>0</v>
      </c>
      <c r="H597" s="102" t="b">
        <v>0</v>
      </c>
      <c r="I597" s="102" t="b">
        <v>0</v>
      </c>
      <c r="J597" s="102" t="b">
        <v>0</v>
      </c>
      <c r="K597" s="102" t="b">
        <v>0</v>
      </c>
      <c r="L597" s="102" t="b">
        <v>0</v>
      </c>
    </row>
    <row r="598" spans="1:12" ht="15">
      <c r="A598" s="97" t="s">
        <v>712</v>
      </c>
      <c r="B598" s="102" t="s">
        <v>2993</v>
      </c>
      <c r="C598" s="102">
        <v>2</v>
      </c>
      <c r="D598" s="118">
        <v>0.007049369460997367</v>
      </c>
      <c r="E598" s="118">
        <v>1.3104277700043614</v>
      </c>
      <c r="F598" s="102" t="s">
        <v>2609</v>
      </c>
      <c r="G598" s="102" t="b">
        <v>0</v>
      </c>
      <c r="H598" s="102" t="b">
        <v>0</v>
      </c>
      <c r="I598" s="102" t="b">
        <v>0</v>
      </c>
      <c r="J598" s="102" t="b">
        <v>0</v>
      </c>
      <c r="K598" s="102" t="b">
        <v>0</v>
      </c>
      <c r="L598" s="102" t="b">
        <v>0</v>
      </c>
    </row>
    <row r="599" spans="1:12" ht="15">
      <c r="A599" s="97" t="s">
        <v>2993</v>
      </c>
      <c r="B599" s="102" t="s">
        <v>2872</v>
      </c>
      <c r="C599" s="102">
        <v>2</v>
      </c>
      <c r="D599" s="118">
        <v>0.007049369460997367</v>
      </c>
      <c r="E599" s="118">
        <v>2.2135177569963047</v>
      </c>
      <c r="F599" s="102" t="s">
        <v>2609</v>
      </c>
      <c r="G599" s="102" t="b">
        <v>0</v>
      </c>
      <c r="H599" s="102" t="b">
        <v>0</v>
      </c>
      <c r="I599" s="102" t="b">
        <v>0</v>
      </c>
      <c r="J599" s="102" t="b">
        <v>0</v>
      </c>
      <c r="K599" s="102" t="b">
        <v>0</v>
      </c>
      <c r="L599" s="102" t="b">
        <v>0</v>
      </c>
    </row>
    <row r="600" spans="1:12" ht="15">
      <c r="A600" s="97" t="s">
        <v>2872</v>
      </c>
      <c r="B600" s="102" t="s">
        <v>2682</v>
      </c>
      <c r="C600" s="102">
        <v>2</v>
      </c>
      <c r="D600" s="118">
        <v>0.007049369460997367</v>
      </c>
      <c r="E600" s="118">
        <v>2.2135177569963047</v>
      </c>
      <c r="F600" s="102" t="s">
        <v>2609</v>
      </c>
      <c r="G600" s="102" t="b">
        <v>0</v>
      </c>
      <c r="H600" s="102" t="b">
        <v>0</v>
      </c>
      <c r="I600" s="102" t="b">
        <v>0</v>
      </c>
      <c r="J600" s="102" t="b">
        <v>0</v>
      </c>
      <c r="K600" s="102" t="b">
        <v>0</v>
      </c>
      <c r="L600" s="102" t="b">
        <v>0</v>
      </c>
    </row>
    <row r="601" spans="1:12" ht="15">
      <c r="A601" s="97" t="s">
        <v>2682</v>
      </c>
      <c r="B601" s="102" t="s">
        <v>2717</v>
      </c>
      <c r="C601" s="102">
        <v>2</v>
      </c>
      <c r="D601" s="118">
        <v>0.007049369460997367</v>
      </c>
      <c r="E601" s="118">
        <v>2.2135177569963047</v>
      </c>
      <c r="F601" s="102" t="s">
        <v>2609</v>
      </c>
      <c r="G601" s="102" t="b">
        <v>0</v>
      </c>
      <c r="H601" s="102" t="b">
        <v>0</v>
      </c>
      <c r="I601" s="102" t="b">
        <v>0</v>
      </c>
      <c r="J601" s="102" t="b">
        <v>0</v>
      </c>
      <c r="K601" s="102" t="b">
        <v>0</v>
      </c>
      <c r="L601" s="102" t="b">
        <v>0</v>
      </c>
    </row>
    <row r="602" spans="1:12" ht="15">
      <c r="A602" s="97" t="s">
        <v>2717</v>
      </c>
      <c r="B602" s="102" t="s">
        <v>2994</v>
      </c>
      <c r="C602" s="102">
        <v>2</v>
      </c>
      <c r="D602" s="118">
        <v>0.007049369460997367</v>
      </c>
      <c r="E602" s="118">
        <v>2.2135177569963047</v>
      </c>
      <c r="F602" s="102" t="s">
        <v>2609</v>
      </c>
      <c r="G602" s="102" t="b">
        <v>0</v>
      </c>
      <c r="H602" s="102" t="b">
        <v>0</v>
      </c>
      <c r="I602" s="102" t="b">
        <v>0</v>
      </c>
      <c r="J602" s="102" t="b">
        <v>0</v>
      </c>
      <c r="K602" s="102" t="b">
        <v>0</v>
      </c>
      <c r="L602" s="102" t="b">
        <v>0</v>
      </c>
    </row>
    <row r="603" spans="1:12" ht="15">
      <c r="A603" s="97" t="s">
        <v>2994</v>
      </c>
      <c r="B603" s="102" t="s">
        <v>2995</v>
      </c>
      <c r="C603" s="102">
        <v>2</v>
      </c>
      <c r="D603" s="118">
        <v>0.007049369460997367</v>
      </c>
      <c r="E603" s="118">
        <v>2.2135177569963047</v>
      </c>
      <c r="F603" s="102" t="s">
        <v>2609</v>
      </c>
      <c r="G603" s="102" t="b">
        <v>0</v>
      </c>
      <c r="H603" s="102" t="b">
        <v>0</v>
      </c>
      <c r="I603" s="102" t="b">
        <v>0</v>
      </c>
      <c r="J603" s="102" t="b">
        <v>0</v>
      </c>
      <c r="K603" s="102" t="b">
        <v>0</v>
      </c>
      <c r="L603" s="102" t="b">
        <v>0</v>
      </c>
    </row>
    <row r="604" spans="1:12" ht="15">
      <c r="A604" s="97" t="s">
        <v>2995</v>
      </c>
      <c r="B604" s="102" t="s">
        <v>2996</v>
      </c>
      <c r="C604" s="102">
        <v>2</v>
      </c>
      <c r="D604" s="118">
        <v>0.007049369460997367</v>
      </c>
      <c r="E604" s="118">
        <v>2.2135177569963047</v>
      </c>
      <c r="F604" s="102" t="s">
        <v>2609</v>
      </c>
      <c r="G604" s="102" t="b">
        <v>0</v>
      </c>
      <c r="H604" s="102" t="b">
        <v>0</v>
      </c>
      <c r="I604" s="102" t="b">
        <v>0</v>
      </c>
      <c r="J604" s="102" t="b">
        <v>0</v>
      </c>
      <c r="K604" s="102" t="b">
        <v>0</v>
      </c>
      <c r="L604" s="102" t="b">
        <v>0</v>
      </c>
    </row>
    <row r="605" spans="1:12" ht="15">
      <c r="A605" s="97" t="s">
        <v>2996</v>
      </c>
      <c r="B605" s="102" t="s">
        <v>2997</v>
      </c>
      <c r="C605" s="102">
        <v>2</v>
      </c>
      <c r="D605" s="118">
        <v>0.007049369460997367</v>
      </c>
      <c r="E605" s="118">
        <v>2.2135177569963047</v>
      </c>
      <c r="F605" s="102" t="s">
        <v>2609</v>
      </c>
      <c r="G605" s="102" t="b">
        <v>0</v>
      </c>
      <c r="H605" s="102" t="b">
        <v>0</v>
      </c>
      <c r="I605" s="102" t="b">
        <v>0</v>
      </c>
      <c r="J605" s="102" t="b">
        <v>0</v>
      </c>
      <c r="K605" s="102" t="b">
        <v>0</v>
      </c>
      <c r="L605" s="102" t="b">
        <v>0</v>
      </c>
    </row>
    <row r="606" spans="1:12" ht="15">
      <c r="A606" s="97" t="s">
        <v>2997</v>
      </c>
      <c r="B606" s="102" t="s">
        <v>2835</v>
      </c>
      <c r="C606" s="102">
        <v>2</v>
      </c>
      <c r="D606" s="118">
        <v>0.007049369460997367</v>
      </c>
      <c r="E606" s="118">
        <v>2.0374264979406234</v>
      </c>
      <c r="F606" s="102" t="s">
        <v>2609</v>
      </c>
      <c r="G606" s="102" t="b">
        <v>0</v>
      </c>
      <c r="H606" s="102" t="b">
        <v>0</v>
      </c>
      <c r="I606" s="102" t="b">
        <v>0</v>
      </c>
      <c r="J606" s="102" t="b">
        <v>0</v>
      </c>
      <c r="K606" s="102" t="b">
        <v>0</v>
      </c>
      <c r="L606" s="102" t="b">
        <v>0</v>
      </c>
    </row>
    <row r="607" spans="1:12" ht="15">
      <c r="A607" s="97" t="s">
        <v>2835</v>
      </c>
      <c r="B607" s="102" t="s">
        <v>2742</v>
      </c>
      <c r="C607" s="102">
        <v>2</v>
      </c>
      <c r="D607" s="118">
        <v>0.007049369460997367</v>
      </c>
      <c r="E607" s="118">
        <v>2.0374264979406234</v>
      </c>
      <c r="F607" s="102" t="s">
        <v>2609</v>
      </c>
      <c r="G607" s="102" t="b">
        <v>0</v>
      </c>
      <c r="H607" s="102" t="b">
        <v>0</v>
      </c>
      <c r="I607" s="102" t="b">
        <v>0</v>
      </c>
      <c r="J607" s="102" t="b">
        <v>0</v>
      </c>
      <c r="K607" s="102" t="b">
        <v>0</v>
      </c>
      <c r="L607" s="102" t="b">
        <v>0</v>
      </c>
    </row>
    <row r="608" spans="1:12" ht="15">
      <c r="A608" s="97" t="s">
        <v>2742</v>
      </c>
      <c r="B608" s="102" t="s">
        <v>2998</v>
      </c>
      <c r="C608" s="102">
        <v>2</v>
      </c>
      <c r="D608" s="118">
        <v>0.007049369460997367</v>
      </c>
      <c r="E608" s="118">
        <v>2.2135177569963047</v>
      </c>
      <c r="F608" s="102" t="s">
        <v>2609</v>
      </c>
      <c r="G608" s="102" t="b">
        <v>0</v>
      </c>
      <c r="H608" s="102" t="b">
        <v>0</v>
      </c>
      <c r="I608" s="102" t="b">
        <v>0</v>
      </c>
      <c r="J608" s="102" t="b">
        <v>0</v>
      </c>
      <c r="K608" s="102" t="b">
        <v>0</v>
      </c>
      <c r="L608" s="102" t="b">
        <v>0</v>
      </c>
    </row>
    <row r="609" spans="1:12" ht="15">
      <c r="A609" s="97" t="s">
        <v>2726</v>
      </c>
      <c r="B609" s="102" t="s">
        <v>2705</v>
      </c>
      <c r="C609" s="102">
        <v>7</v>
      </c>
      <c r="D609" s="118">
        <v>0.012369810307546804</v>
      </c>
      <c r="E609" s="118">
        <v>1.4419568376564116</v>
      </c>
      <c r="F609" s="102" t="s">
        <v>2610</v>
      </c>
      <c r="G609" s="102" t="b">
        <v>0</v>
      </c>
      <c r="H609" s="102" t="b">
        <v>0</v>
      </c>
      <c r="I609" s="102" t="b">
        <v>0</v>
      </c>
      <c r="J609" s="102" t="b">
        <v>0</v>
      </c>
      <c r="K609" s="102" t="b">
        <v>0</v>
      </c>
      <c r="L609" s="102" t="b">
        <v>0</v>
      </c>
    </row>
    <row r="610" spans="1:12" ht="15">
      <c r="A610" s="97" t="s">
        <v>2705</v>
      </c>
      <c r="B610" s="102" t="s">
        <v>2661</v>
      </c>
      <c r="C610" s="102">
        <v>7</v>
      </c>
      <c r="D610" s="118">
        <v>0.012369810307546804</v>
      </c>
      <c r="E610" s="118">
        <v>1.2456621925124431</v>
      </c>
      <c r="F610" s="102" t="s">
        <v>2610</v>
      </c>
      <c r="G610" s="102" t="b">
        <v>0</v>
      </c>
      <c r="H610" s="102" t="b">
        <v>0</v>
      </c>
      <c r="I610" s="102" t="b">
        <v>0</v>
      </c>
      <c r="J610" s="102" t="b">
        <v>0</v>
      </c>
      <c r="K610" s="102" t="b">
        <v>0</v>
      </c>
      <c r="L610" s="102" t="b">
        <v>0</v>
      </c>
    </row>
    <row r="611" spans="1:12" ht="15">
      <c r="A611" s="97" t="s">
        <v>2661</v>
      </c>
      <c r="B611" s="102" t="s">
        <v>2704</v>
      </c>
      <c r="C611" s="102">
        <v>7</v>
      </c>
      <c r="D611" s="118">
        <v>0.012369810307546804</v>
      </c>
      <c r="E611" s="118">
        <v>1.1621161410623684</v>
      </c>
      <c r="F611" s="102" t="s">
        <v>2610</v>
      </c>
      <c r="G611" s="102" t="b">
        <v>0</v>
      </c>
      <c r="H611" s="102" t="b">
        <v>0</v>
      </c>
      <c r="I611" s="102" t="b">
        <v>0</v>
      </c>
      <c r="J611" s="102" t="b">
        <v>0</v>
      </c>
      <c r="K611" s="102" t="b">
        <v>0</v>
      </c>
      <c r="L611" s="102" t="b">
        <v>0</v>
      </c>
    </row>
    <row r="612" spans="1:12" ht="15">
      <c r="A612" s="97" t="s">
        <v>2704</v>
      </c>
      <c r="B612" s="102" t="s">
        <v>2715</v>
      </c>
      <c r="C612" s="102">
        <v>7</v>
      </c>
      <c r="D612" s="118">
        <v>0.012369810307546804</v>
      </c>
      <c r="E612" s="118">
        <v>1.3170181010481115</v>
      </c>
      <c r="F612" s="102" t="s">
        <v>2610</v>
      </c>
      <c r="G612" s="102" t="b">
        <v>0</v>
      </c>
      <c r="H612" s="102" t="b">
        <v>0</v>
      </c>
      <c r="I612" s="102" t="b">
        <v>0</v>
      </c>
      <c r="J612" s="102" t="b">
        <v>0</v>
      </c>
      <c r="K612" s="102" t="b">
        <v>0</v>
      </c>
      <c r="L612" s="102" t="b">
        <v>0</v>
      </c>
    </row>
    <row r="613" spans="1:12" ht="15">
      <c r="A613" s="97" t="s">
        <v>2715</v>
      </c>
      <c r="B613" s="102" t="s">
        <v>2727</v>
      </c>
      <c r="C613" s="102">
        <v>7</v>
      </c>
      <c r="D613" s="118">
        <v>0.012369810307546804</v>
      </c>
      <c r="E613" s="118">
        <v>1.5511013070814794</v>
      </c>
      <c r="F613" s="102" t="s">
        <v>2610</v>
      </c>
      <c r="G613" s="102" t="b">
        <v>0</v>
      </c>
      <c r="H613" s="102" t="b">
        <v>0</v>
      </c>
      <c r="I613" s="102" t="b">
        <v>0</v>
      </c>
      <c r="J613" s="102" t="b">
        <v>0</v>
      </c>
      <c r="K613" s="102" t="b">
        <v>0</v>
      </c>
      <c r="L613" s="102" t="b">
        <v>0</v>
      </c>
    </row>
    <row r="614" spans="1:12" ht="15">
      <c r="A614" s="97" t="s">
        <v>2727</v>
      </c>
      <c r="B614" s="102" t="s">
        <v>2728</v>
      </c>
      <c r="C614" s="102">
        <v>7</v>
      </c>
      <c r="D614" s="118">
        <v>0.012369810307546804</v>
      </c>
      <c r="E614" s="118">
        <v>1.5511013070814794</v>
      </c>
      <c r="F614" s="102" t="s">
        <v>2610</v>
      </c>
      <c r="G614" s="102" t="b">
        <v>0</v>
      </c>
      <c r="H614" s="102" t="b">
        <v>0</v>
      </c>
      <c r="I614" s="102" t="b">
        <v>0</v>
      </c>
      <c r="J614" s="102" t="b">
        <v>0</v>
      </c>
      <c r="K614" s="102" t="b">
        <v>0</v>
      </c>
      <c r="L614" s="102" t="b">
        <v>0</v>
      </c>
    </row>
    <row r="615" spans="1:12" ht="15">
      <c r="A615" s="97" t="s">
        <v>2728</v>
      </c>
      <c r="B615" s="102" t="s">
        <v>2663</v>
      </c>
      <c r="C615" s="102">
        <v>7</v>
      </c>
      <c r="D615" s="118">
        <v>0.012369810307546804</v>
      </c>
      <c r="E615" s="118">
        <v>1.5511013070814794</v>
      </c>
      <c r="F615" s="102" t="s">
        <v>2610</v>
      </c>
      <c r="G615" s="102" t="b">
        <v>0</v>
      </c>
      <c r="H615" s="102" t="b">
        <v>0</v>
      </c>
      <c r="I615" s="102" t="b">
        <v>0</v>
      </c>
      <c r="J615" s="102" t="b">
        <v>0</v>
      </c>
      <c r="K615" s="102" t="b">
        <v>0</v>
      </c>
      <c r="L615" s="102" t="b">
        <v>0</v>
      </c>
    </row>
    <row r="616" spans="1:12" ht="15">
      <c r="A616" s="97" t="s">
        <v>2663</v>
      </c>
      <c r="B616" s="102" t="s">
        <v>712</v>
      </c>
      <c r="C616" s="102">
        <v>7</v>
      </c>
      <c r="D616" s="118">
        <v>0.012369810307546804</v>
      </c>
      <c r="E616" s="118">
        <v>1.220108088040055</v>
      </c>
      <c r="F616" s="102" t="s">
        <v>2610</v>
      </c>
      <c r="G616" s="102" t="b">
        <v>0</v>
      </c>
      <c r="H616" s="102" t="b">
        <v>0</v>
      </c>
      <c r="I616" s="102" t="b">
        <v>0</v>
      </c>
      <c r="J616" s="102" t="b">
        <v>0</v>
      </c>
      <c r="K616" s="102" t="b">
        <v>0</v>
      </c>
      <c r="L616" s="102" t="b">
        <v>0</v>
      </c>
    </row>
    <row r="617" spans="1:12" ht="15">
      <c r="A617" s="97" t="s">
        <v>2760</v>
      </c>
      <c r="B617" s="102" t="s">
        <v>2761</v>
      </c>
      <c r="C617" s="102">
        <v>5</v>
      </c>
      <c r="D617" s="118">
        <v>0.011541653525887045</v>
      </c>
      <c r="E617" s="118">
        <v>1.6972293427597176</v>
      </c>
      <c r="F617" s="102" t="s">
        <v>2610</v>
      </c>
      <c r="G617" s="102" t="b">
        <v>0</v>
      </c>
      <c r="H617" s="102" t="b">
        <v>0</v>
      </c>
      <c r="I617" s="102" t="b">
        <v>0</v>
      </c>
      <c r="J617" s="102" t="b">
        <v>0</v>
      </c>
      <c r="K617" s="102" t="b">
        <v>0</v>
      </c>
      <c r="L617" s="102" t="b">
        <v>0</v>
      </c>
    </row>
    <row r="618" spans="1:12" ht="15">
      <c r="A618" s="97" t="s">
        <v>2761</v>
      </c>
      <c r="B618" s="102" t="s">
        <v>2712</v>
      </c>
      <c r="C618" s="102">
        <v>5</v>
      </c>
      <c r="D618" s="118">
        <v>0.011541653525887045</v>
      </c>
      <c r="E618" s="118">
        <v>1.5511013070814794</v>
      </c>
      <c r="F618" s="102" t="s">
        <v>2610</v>
      </c>
      <c r="G618" s="102" t="b">
        <v>0</v>
      </c>
      <c r="H618" s="102" t="b">
        <v>0</v>
      </c>
      <c r="I618" s="102" t="b">
        <v>0</v>
      </c>
      <c r="J618" s="102" t="b">
        <v>0</v>
      </c>
      <c r="K618" s="102" t="b">
        <v>0</v>
      </c>
      <c r="L618" s="102" t="b">
        <v>0</v>
      </c>
    </row>
    <row r="619" spans="1:12" ht="15">
      <c r="A619" s="97" t="s">
        <v>2712</v>
      </c>
      <c r="B619" s="102" t="s">
        <v>2726</v>
      </c>
      <c r="C619" s="102">
        <v>5</v>
      </c>
      <c r="D619" s="118">
        <v>0.011541653525887045</v>
      </c>
      <c r="E619" s="118">
        <v>1.4049732714032415</v>
      </c>
      <c r="F619" s="102" t="s">
        <v>2610</v>
      </c>
      <c r="G619" s="102" t="b">
        <v>0</v>
      </c>
      <c r="H619" s="102" t="b">
        <v>0</v>
      </c>
      <c r="I619" s="102" t="b">
        <v>0</v>
      </c>
      <c r="J619" s="102" t="b">
        <v>0</v>
      </c>
      <c r="K619" s="102" t="b">
        <v>0</v>
      </c>
      <c r="L619" s="102" t="b">
        <v>0</v>
      </c>
    </row>
    <row r="620" spans="1:12" ht="15">
      <c r="A620" s="97" t="s">
        <v>712</v>
      </c>
      <c r="B620" s="102" t="s">
        <v>2762</v>
      </c>
      <c r="C620" s="102">
        <v>5</v>
      </c>
      <c r="D620" s="118">
        <v>0.011541653525887045</v>
      </c>
      <c r="E620" s="118">
        <v>1.1920793644398116</v>
      </c>
      <c r="F620" s="102" t="s">
        <v>2610</v>
      </c>
      <c r="G620" s="102" t="b">
        <v>0</v>
      </c>
      <c r="H620" s="102" t="b">
        <v>0</v>
      </c>
      <c r="I620" s="102" t="b">
        <v>0</v>
      </c>
      <c r="J620" s="102" t="b">
        <v>0</v>
      </c>
      <c r="K620" s="102" t="b">
        <v>0</v>
      </c>
      <c r="L620" s="102" t="b">
        <v>0</v>
      </c>
    </row>
    <row r="621" spans="1:12" ht="15">
      <c r="A621" s="97" t="s">
        <v>2762</v>
      </c>
      <c r="B621" s="102" t="s">
        <v>2685</v>
      </c>
      <c r="C621" s="102">
        <v>5</v>
      </c>
      <c r="D621" s="118">
        <v>0.011541653525887045</v>
      </c>
      <c r="E621" s="118">
        <v>1.6180480967120927</v>
      </c>
      <c r="F621" s="102" t="s">
        <v>2610</v>
      </c>
      <c r="G621" s="102" t="b">
        <v>0</v>
      </c>
      <c r="H621" s="102" t="b">
        <v>0</v>
      </c>
      <c r="I621" s="102" t="b">
        <v>0</v>
      </c>
      <c r="J621" s="102" t="b">
        <v>0</v>
      </c>
      <c r="K621" s="102" t="b">
        <v>0</v>
      </c>
      <c r="L621" s="102" t="b">
        <v>0</v>
      </c>
    </row>
    <row r="622" spans="1:12" ht="15">
      <c r="A622" s="97" t="s">
        <v>2685</v>
      </c>
      <c r="B622" s="102" t="s">
        <v>2674</v>
      </c>
      <c r="C622" s="102">
        <v>5</v>
      </c>
      <c r="D622" s="118">
        <v>0.011541653525887045</v>
      </c>
      <c r="E622" s="118">
        <v>1.5388668506644678</v>
      </c>
      <c r="F622" s="102" t="s">
        <v>2610</v>
      </c>
      <c r="G622" s="102" t="b">
        <v>0</v>
      </c>
      <c r="H622" s="102" t="b">
        <v>0</v>
      </c>
      <c r="I622" s="102" t="b">
        <v>0</v>
      </c>
      <c r="J622" s="102" t="b">
        <v>0</v>
      </c>
      <c r="K622" s="102" t="b">
        <v>0</v>
      </c>
      <c r="L622" s="102" t="b">
        <v>0</v>
      </c>
    </row>
    <row r="623" spans="1:12" ht="15">
      <c r="A623" s="97" t="s">
        <v>2674</v>
      </c>
      <c r="B623" s="102" t="s">
        <v>2660</v>
      </c>
      <c r="C623" s="102">
        <v>5</v>
      </c>
      <c r="D623" s="118">
        <v>0.011541653525887045</v>
      </c>
      <c r="E623" s="118">
        <v>1.5388668506644678</v>
      </c>
      <c r="F623" s="102" t="s">
        <v>2610</v>
      </c>
      <c r="G623" s="102" t="b">
        <v>0</v>
      </c>
      <c r="H623" s="102" t="b">
        <v>0</v>
      </c>
      <c r="I623" s="102" t="b">
        <v>0</v>
      </c>
      <c r="J623" s="102" t="b">
        <v>0</v>
      </c>
      <c r="K623" s="102" t="b">
        <v>0</v>
      </c>
      <c r="L623" s="102" t="b">
        <v>0</v>
      </c>
    </row>
    <row r="624" spans="1:12" ht="15">
      <c r="A624" s="97" t="s">
        <v>2704</v>
      </c>
      <c r="B624" s="102" t="s">
        <v>2902</v>
      </c>
      <c r="C624" s="102">
        <v>3</v>
      </c>
      <c r="D624" s="118">
        <v>0.009389978222380631</v>
      </c>
      <c r="E624" s="118">
        <v>1.3170181010481115</v>
      </c>
      <c r="F624" s="102" t="s">
        <v>2610</v>
      </c>
      <c r="G624" s="102" t="b">
        <v>0</v>
      </c>
      <c r="H624" s="102" t="b">
        <v>0</v>
      </c>
      <c r="I624" s="102" t="b">
        <v>0</v>
      </c>
      <c r="J624" s="102" t="b">
        <v>0</v>
      </c>
      <c r="K624" s="102" t="b">
        <v>0</v>
      </c>
      <c r="L624" s="102" t="b">
        <v>0</v>
      </c>
    </row>
    <row r="625" spans="1:12" ht="15">
      <c r="A625" s="97" t="s">
        <v>451</v>
      </c>
      <c r="B625" s="102" t="s">
        <v>289</v>
      </c>
      <c r="C625" s="102">
        <v>2</v>
      </c>
      <c r="D625" s="118">
        <v>0.007564365178295837</v>
      </c>
      <c r="E625" s="118">
        <v>2.095169351431755</v>
      </c>
      <c r="F625" s="102" t="s">
        <v>2610</v>
      </c>
      <c r="G625" s="102" t="b">
        <v>0</v>
      </c>
      <c r="H625" s="102" t="b">
        <v>0</v>
      </c>
      <c r="I625" s="102" t="b">
        <v>0</v>
      </c>
      <c r="J625" s="102" t="b">
        <v>0</v>
      </c>
      <c r="K625" s="102" t="b">
        <v>0</v>
      </c>
      <c r="L625" s="102" t="b">
        <v>0</v>
      </c>
    </row>
    <row r="626" spans="1:12" ht="15">
      <c r="A626" s="97" t="s">
        <v>289</v>
      </c>
      <c r="B626" s="102" t="s">
        <v>454</v>
      </c>
      <c r="C626" s="102">
        <v>2</v>
      </c>
      <c r="D626" s="118">
        <v>0.007564365178295837</v>
      </c>
      <c r="E626" s="118">
        <v>2.095169351431755</v>
      </c>
      <c r="F626" s="102" t="s">
        <v>2610</v>
      </c>
      <c r="G626" s="102" t="b">
        <v>0</v>
      </c>
      <c r="H626" s="102" t="b">
        <v>0</v>
      </c>
      <c r="I626" s="102" t="b">
        <v>0</v>
      </c>
      <c r="J626" s="102" t="b">
        <v>0</v>
      </c>
      <c r="K626" s="102" t="b">
        <v>0</v>
      </c>
      <c r="L626" s="102" t="b">
        <v>0</v>
      </c>
    </row>
    <row r="627" spans="1:12" ht="15">
      <c r="A627" s="97" t="s">
        <v>454</v>
      </c>
      <c r="B627" s="102" t="s">
        <v>446</v>
      </c>
      <c r="C627" s="102">
        <v>2</v>
      </c>
      <c r="D627" s="118">
        <v>0.007564365178295837</v>
      </c>
      <c r="E627" s="118">
        <v>1.919078092376074</v>
      </c>
      <c r="F627" s="102" t="s">
        <v>2610</v>
      </c>
      <c r="G627" s="102" t="b">
        <v>0</v>
      </c>
      <c r="H627" s="102" t="b">
        <v>0</v>
      </c>
      <c r="I627" s="102" t="b">
        <v>0</v>
      </c>
      <c r="J627" s="102" t="b">
        <v>0</v>
      </c>
      <c r="K627" s="102" t="b">
        <v>0</v>
      </c>
      <c r="L627" s="102" t="b">
        <v>0</v>
      </c>
    </row>
    <row r="628" spans="1:12" ht="15">
      <c r="A628" s="97" t="s">
        <v>446</v>
      </c>
      <c r="B628" s="102" t="s">
        <v>445</v>
      </c>
      <c r="C628" s="102">
        <v>2</v>
      </c>
      <c r="D628" s="118">
        <v>0.007564365178295837</v>
      </c>
      <c r="E628" s="118">
        <v>2.095169351431755</v>
      </c>
      <c r="F628" s="102" t="s">
        <v>2610</v>
      </c>
      <c r="G628" s="102" t="b">
        <v>0</v>
      </c>
      <c r="H628" s="102" t="b">
        <v>0</v>
      </c>
      <c r="I628" s="102" t="b">
        <v>0</v>
      </c>
      <c r="J628" s="102" t="b">
        <v>0</v>
      </c>
      <c r="K628" s="102" t="b">
        <v>0</v>
      </c>
      <c r="L628" s="102" t="b">
        <v>0</v>
      </c>
    </row>
    <row r="629" spans="1:12" ht="15">
      <c r="A629" s="97" t="s">
        <v>445</v>
      </c>
      <c r="B629" s="102" t="s">
        <v>444</v>
      </c>
      <c r="C629" s="102">
        <v>2</v>
      </c>
      <c r="D629" s="118">
        <v>0.007564365178295837</v>
      </c>
      <c r="E629" s="118">
        <v>2.095169351431755</v>
      </c>
      <c r="F629" s="102" t="s">
        <v>2610</v>
      </c>
      <c r="G629" s="102" t="b">
        <v>0</v>
      </c>
      <c r="H629" s="102" t="b">
        <v>0</v>
      </c>
      <c r="I629" s="102" t="b">
        <v>0</v>
      </c>
      <c r="J629" s="102" t="b">
        <v>0</v>
      </c>
      <c r="K629" s="102" t="b">
        <v>0</v>
      </c>
      <c r="L629" s="102" t="b">
        <v>0</v>
      </c>
    </row>
    <row r="630" spans="1:12" ht="15">
      <c r="A630" s="97" t="s">
        <v>444</v>
      </c>
      <c r="B630" s="102" t="s">
        <v>457</v>
      </c>
      <c r="C630" s="102">
        <v>2</v>
      </c>
      <c r="D630" s="118">
        <v>0.007564365178295837</v>
      </c>
      <c r="E630" s="118">
        <v>1.919078092376074</v>
      </c>
      <c r="F630" s="102" t="s">
        <v>2610</v>
      </c>
      <c r="G630" s="102" t="b">
        <v>0</v>
      </c>
      <c r="H630" s="102" t="b">
        <v>0</v>
      </c>
      <c r="I630" s="102" t="b">
        <v>0</v>
      </c>
      <c r="J630" s="102" t="b">
        <v>0</v>
      </c>
      <c r="K630" s="102" t="b">
        <v>0</v>
      </c>
      <c r="L630" s="102" t="b">
        <v>0</v>
      </c>
    </row>
    <row r="631" spans="1:12" ht="15">
      <c r="A631" s="97" t="s">
        <v>457</v>
      </c>
      <c r="B631" s="102" t="s">
        <v>443</v>
      </c>
      <c r="C631" s="102">
        <v>2</v>
      </c>
      <c r="D631" s="118">
        <v>0.007564365178295837</v>
      </c>
      <c r="E631" s="118">
        <v>1.919078092376074</v>
      </c>
      <c r="F631" s="102" t="s">
        <v>2610</v>
      </c>
      <c r="G631" s="102" t="b">
        <v>0</v>
      </c>
      <c r="H631" s="102" t="b">
        <v>0</v>
      </c>
      <c r="I631" s="102" t="b">
        <v>0</v>
      </c>
      <c r="J631" s="102" t="b">
        <v>0</v>
      </c>
      <c r="K631" s="102" t="b">
        <v>0</v>
      </c>
      <c r="L631" s="102" t="b">
        <v>0</v>
      </c>
    </row>
    <row r="632" spans="1:12" ht="15">
      <c r="A632" s="97" t="s">
        <v>443</v>
      </c>
      <c r="B632" s="102" t="s">
        <v>442</v>
      </c>
      <c r="C632" s="102">
        <v>2</v>
      </c>
      <c r="D632" s="118">
        <v>0.007564365178295837</v>
      </c>
      <c r="E632" s="118">
        <v>2.095169351431755</v>
      </c>
      <c r="F632" s="102" t="s">
        <v>2610</v>
      </c>
      <c r="G632" s="102" t="b">
        <v>0</v>
      </c>
      <c r="H632" s="102" t="b">
        <v>0</v>
      </c>
      <c r="I632" s="102" t="b">
        <v>0</v>
      </c>
      <c r="J632" s="102" t="b">
        <v>0</v>
      </c>
      <c r="K632" s="102" t="b">
        <v>0</v>
      </c>
      <c r="L632" s="102" t="b">
        <v>0</v>
      </c>
    </row>
    <row r="633" spans="1:12" ht="15">
      <c r="A633" s="97" t="s">
        <v>442</v>
      </c>
      <c r="B633" s="102" t="s">
        <v>441</v>
      </c>
      <c r="C633" s="102">
        <v>2</v>
      </c>
      <c r="D633" s="118">
        <v>0.007564365178295837</v>
      </c>
      <c r="E633" s="118">
        <v>2.095169351431755</v>
      </c>
      <c r="F633" s="102" t="s">
        <v>2610</v>
      </c>
      <c r="G633" s="102" t="b">
        <v>0</v>
      </c>
      <c r="H633" s="102" t="b">
        <v>0</v>
      </c>
      <c r="I633" s="102" t="b">
        <v>0</v>
      </c>
      <c r="J633" s="102" t="b">
        <v>0</v>
      </c>
      <c r="K633" s="102" t="b">
        <v>0</v>
      </c>
      <c r="L633" s="102" t="b">
        <v>0</v>
      </c>
    </row>
    <row r="634" spans="1:12" ht="15">
      <c r="A634" s="97" t="s">
        <v>441</v>
      </c>
      <c r="B634" s="102" t="s">
        <v>440</v>
      </c>
      <c r="C634" s="102">
        <v>2</v>
      </c>
      <c r="D634" s="118">
        <v>0.007564365178295837</v>
      </c>
      <c r="E634" s="118">
        <v>2.095169351431755</v>
      </c>
      <c r="F634" s="102" t="s">
        <v>2610</v>
      </c>
      <c r="G634" s="102" t="b">
        <v>0</v>
      </c>
      <c r="H634" s="102" t="b">
        <v>0</v>
      </c>
      <c r="I634" s="102" t="b">
        <v>0</v>
      </c>
      <c r="J634" s="102" t="b">
        <v>0</v>
      </c>
      <c r="K634" s="102" t="b">
        <v>0</v>
      </c>
      <c r="L634" s="102" t="b">
        <v>0</v>
      </c>
    </row>
    <row r="635" spans="1:12" ht="15">
      <c r="A635" s="97" t="s">
        <v>440</v>
      </c>
      <c r="B635" s="102" t="s">
        <v>439</v>
      </c>
      <c r="C635" s="102">
        <v>2</v>
      </c>
      <c r="D635" s="118">
        <v>0.007564365178295837</v>
      </c>
      <c r="E635" s="118">
        <v>2.095169351431755</v>
      </c>
      <c r="F635" s="102" t="s">
        <v>2610</v>
      </c>
      <c r="G635" s="102" t="b">
        <v>0</v>
      </c>
      <c r="H635" s="102" t="b">
        <v>0</v>
      </c>
      <c r="I635" s="102" t="b">
        <v>0</v>
      </c>
      <c r="J635" s="102" t="b">
        <v>0</v>
      </c>
      <c r="K635" s="102" t="b">
        <v>0</v>
      </c>
      <c r="L635" s="102" t="b">
        <v>0</v>
      </c>
    </row>
    <row r="636" spans="1:12" ht="15">
      <c r="A636" s="97" t="s">
        <v>439</v>
      </c>
      <c r="B636" s="102" t="s">
        <v>438</v>
      </c>
      <c r="C636" s="102">
        <v>2</v>
      </c>
      <c r="D636" s="118">
        <v>0.007564365178295837</v>
      </c>
      <c r="E636" s="118">
        <v>2.095169351431755</v>
      </c>
      <c r="F636" s="102" t="s">
        <v>2610</v>
      </c>
      <c r="G636" s="102" t="b">
        <v>0</v>
      </c>
      <c r="H636" s="102" t="b">
        <v>0</v>
      </c>
      <c r="I636" s="102" t="b">
        <v>0</v>
      </c>
      <c r="J636" s="102" t="b">
        <v>0</v>
      </c>
      <c r="K636" s="102" t="b">
        <v>0</v>
      </c>
      <c r="L636" s="102" t="b">
        <v>0</v>
      </c>
    </row>
    <row r="637" spans="1:12" ht="15">
      <c r="A637" s="97" t="s">
        <v>438</v>
      </c>
      <c r="B637" s="102" t="s">
        <v>2760</v>
      </c>
      <c r="C637" s="102">
        <v>2</v>
      </c>
      <c r="D637" s="118">
        <v>0.007564365178295837</v>
      </c>
      <c r="E637" s="118">
        <v>1.6972293427597176</v>
      </c>
      <c r="F637" s="102" t="s">
        <v>2610</v>
      </c>
      <c r="G637" s="102" t="b">
        <v>0</v>
      </c>
      <c r="H637" s="102" t="b">
        <v>0</v>
      </c>
      <c r="I637" s="102" t="b">
        <v>0</v>
      </c>
      <c r="J637" s="102" t="b">
        <v>0</v>
      </c>
      <c r="K637" s="102" t="b">
        <v>0</v>
      </c>
      <c r="L637" s="102" t="b">
        <v>0</v>
      </c>
    </row>
    <row r="638" spans="1:12" ht="15">
      <c r="A638" s="97" t="s">
        <v>712</v>
      </c>
      <c r="B638" s="102" t="s">
        <v>2704</v>
      </c>
      <c r="C638" s="102">
        <v>2</v>
      </c>
      <c r="D638" s="118">
        <v>0.007564365178295837</v>
      </c>
      <c r="E638" s="118">
        <v>0.4139281140561679</v>
      </c>
      <c r="F638" s="102" t="s">
        <v>2610</v>
      </c>
      <c r="G638" s="102" t="b">
        <v>0</v>
      </c>
      <c r="H638" s="102" t="b">
        <v>0</v>
      </c>
      <c r="I638" s="102" t="b">
        <v>0</v>
      </c>
      <c r="J638" s="102" t="b">
        <v>0</v>
      </c>
      <c r="K638" s="102" t="b">
        <v>0</v>
      </c>
      <c r="L638" s="102" t="b">
        <v>0</v>
      </c>
    </row>
    <row r="639" spans="1:12" ht="15">
      <c r="A639" s="97" t="s">
        <v>712</v>
      </c>
      <c r="B639" s="102" t="s">
        <v>2718</v>
      </c>
      <c r="C639" s="102">
        <v>2</v>
      </c>
      <c r="D639" s="118">
        <v>0.007564365178295837</v>
      </c>
      <c r="E639" s="118">
        <v>1.1920793644398116</v>
      </c>
      <c r="F639" s="102" t="s">
        <v>2610</v>
      </c>
      <c r="G639" s="102" t="b">
        <v>0</v>
      </c>
      <c r="H639" s="102" t="b">
        <v>0</v>
      </c>
      <c r="I639" s="102" t="b">
        <v>0</v>
      </c>
      <c r="J639" s="102" t="b">
        <v>0</v>
      </c>
      <c r="K639" s="102" t="b">
        <v>0</v>
      </c>
      <c r="L639" s="102" t="b">
        <v>0</v>
      </c>
    </row>
    <row r="640" spans="1:12" ht="15">
      <c r="A640" s="97" t="s">
        <v>432</v>
      </c>
      <c r="B640" s="102" t="s">
        <v>2686</v>
      </c>
      <c r="C640" s="102">
        <v>12</v>
      </c>
      <c r="D640" s="118">
        <v>0.00829893519033519</v>
      </c>
      <c r="E640" s="118">
        <v>1.6728672017718138</v>
      </c>
      <c r="F640" s="102" t="s">
        <v>2611</v>
      </c>
      <c r="G640" s="102" t="b">
        <v>0</v>
      </c>
      <c r="H640" s="102" t="b">
        <v>0</v>
      </c>
      <c r="I640" s="102" t="b">
        <v>0</v>
      </c>
      <c r="J640" s="102" t="b">
        <v>0</v>
      </c>
      <c r="K640" s="102" t="b">
        <v>0</v>
      </c>
      <c r="L640" s="102" t="b">
        <v>0</v>
      </c>
    </row>
    <row r="641" spans="1:12" ht="15">
      <c r="A641" s="97" t="s">
        <v>2686</v>
      </c>
      <c r="B641" s="102" t="s">
        <v>2687</v>
      </c>
      <c r="C641" s="102">
        <v>12</v>
      </c>
      <c r="D641" s="118">
        <v>0.00829893519033519</v>
      </c>
      <c r="E641" s="118">
        <v>1.6728672017718138</v>
      </c>
      <c r="F641" s="102" t="s">
        <v>2611</v>
      </c>
      <c r="G641" s="102" t="b">
        <v>0</v>
      </c>
      <c r="H641" s="102" t="b">
        <v>0</v>
      </c>
      <c r="I641" s="102" t="b">
        <v>0</v>
      </c>
      <c r="J641" s="102" t="b">
        <v>0</v>
      </c>
      <c r="K641" s="102" t="b">
        <v>0</v>
      </c>
      <c r="L641" s="102" t="b">
        <v>0</v>
      </c>
    </row>
    <row r="642" spans="1:12" ht="15">
      <c r="A642" s="97" t="s">
        <v>2687</v>
      </c>
      <c r="B642" s="102" t="s">
        <v>2688</v>
      </c>
      <c r="C642" s="102">
        <v>12</v>
      </c>
      <c r="D642" s="118">
        <v>0.00829893519033519</v>
      </c>
      <c r="E642" s="118">
        <v>1.6728672017718138</v>
      </c>
      <c r="F642" s="102" t="s">
        <v>2611</v>
      </c>
      <c r="G642" s="102" t="b">
        <v>0</v>
      </c>
      <c r="H642" s="102" t="b">
        <v>0</v>
      </c>
      <c r="I642" s="102" t="b">
        <v>0</v>
      </c>
      <c r="J642" s="102" t="b">
        <v>0</v>
      </c>
      <c r="K642" s="102" t="b">
        <v>0</v>
      </c>
      <c r="L642" s="102" t="b">
        <v>0</v>
      </c>
    </row>
    <row r="643" spans="1:12" ht="15">
      <c r="A643" s="97" t="s">
        <v>2688</v>
      </c>
      <c r="B643" s="102" t="s">
        <v>2689</v>
      </c>
      <c r="C643" s="102">
        <v>12</v>
      </c>
      <c r="D643" s="118">
        <v>0.00829893519033519</v>
      </c>
      <c r="E643" s="118">
        <v>1.6728672017718138</v>
      </c>
      <c r="F643" s="102" t="s">
        <v>2611</v>
      </c>
      <c r="G643" s="102" t="b">
        <v>0</v>
      </c>
      <c r="H643" s="102" t="b">
        <v>0</v>
      </c>
      <c r="I643" s="102" t="b">
        <v>0</v>
      </c>
      <c r="J643" s="102" t="b">
        <v>0</v>
      </c>
      <c r="K643" s="102" t="b">
        <v>0</v>
      </c>
      <c r="L643" s="102" t="b">
        <v>0</v>
      </c>
    </row>
    <row r="644" spans="1:12" ht="15">
      <c r="A644" s="97" t="s">
        <v>2689</v>
      </c>
      <c r="B644" s="102" t="s">
        <v>2690</v>
      </c>
      <c r="C644" s="102">
        <v>12</v>
      </c>
      <c r="D644" s="118">
        <v>0.00829893519033519</v>
      </c>
      <c r="E644" s="118">
        <v>1.6728672017718138</v>
      </c>
      <c r="F644" s="102" t="s">
        <v>2611</v>
      </c>
      <c r="G644" s="102" t="b">
        <v>0</v>
      </c>
      <c r="H644" s="102" t="b">
        <v>0</v>
      </c>
      <c r="I644" s="102" t="b">
        <v>0</v>
      </c>
      <c r="J644" s="102" t="b">
        <v>0</v>
      </c>
      <c r="K644" s="102" t="b">
        <v>0</v>
      </c>
      <c r="L644" s="102" t="b">
        <v>0</v>
      </c>
    </row>
    <row r="645" spans="1:12" ht="15">
      <c r="A645" s="97" t="s">
        <v>2690</v>
      </c>
      <c r="B645" s="102" t="s">
        <v>2691</v>
      </c>
      <c r="C645" s="102">
        <v>12</v>
      </c>
      <c r="D645" s="118">
        <v>0.00829893519033519</v>
      </c>
      <c r="E645" s="118">
        <v>1.6728672017718138</v>
      </c>
      <c r="F645" s="102" t="s">
        <v>2611</v>
      </c>
      <c r="G645" s="102" t="b">
        <v>0</v>
      </c>
      <c r="H645" s="102" t="b">
        <v>0</v>
      </c>
      <c r="I645" s="102" t="b">
        <v>0</v>
      </c>
      <c r="J645" s="102" t="b">
        <v>0</v>
      </c>
      <c r="K645" s="102" t="b">
        <v>0</v>
      </c>
      <c r="L645" s="102" t="b">
        <v>0</v>
      </c>
    </row>
    <row r="646" spans="1:12" ht="15">
      <c r="A646" s="97" t="s">
        <v>2691</v>
      </c>
      <c r="B646" s="102" t="s">
        <v>2692</v>
      </c>
      <c r="C646" s="102">
        <v>12</v>
      </c>
      <c r="D646" s="118">
        <v>0.00829893519033519</v>
      </c>
      <c r="E646" s="118">
        <v>1.6728672017718138</v>
      </c>
      <c r="F646" s="102" t="s">
        <v>2611</v>
      </c>
      <c r="G646" s="102" t="b">
        <v>0</v>
      </c>
      <c r="H646" s="102" t="b">
        <v>0</v>
      </c>
      <c r="I646" s="102" t="b">
        <v>0</v>
      </c>
      <c r="J646" s="102" t="b">
        <v>0</v>
      </c>
      <c r="K646" s="102" t="b">
        <v>0</v>
      </c>
      <c r="L646" s="102" t="b">
        <v>0</v>
      </c>
    </row>
    <row r="647" spans="1:12" ht="15">
      <c r="A647" s="97" t="s">
        <v>2692</v>
      </c>
      <c r="B647" s="102" t="s">
        <v>2693</v>
      </c>
      <c r="C647" s="102">
        <v>12</v>
      </c>
      <c r="D647" s="118">
        <v>0.00829893519033519</v>
      </c>
      <c r="E647" s="118">
        <v>1.6728672017718138</v>
      </c>
      <c r="F647" s="102" t="s">
        <v>2611</v>
      </c>
      <c r="G647" s="102" t="b">
        <v>0</v>
      </c>
      <c r="H647" s="102" t="b">
        <v>0</v>
      </c>
      <c r="I647" s="102" t="b">
        <v>0</v>
      </c>
      <c r="J647" s="102" t="b">
        <v>0</v>
      </c>
      <c r="K647" s="102" t="b">
        <v>0</v>
      </c>
      <c r="L647" s="102" t="b">
        <v>0</v>
      </c>
    </row>
    <row r="648" spans="1:12" ht="15">
      <c r="A648" s="97" t="s">
        <v>2693</v>
      </c>
      <c r="B648" s="102" t="s">
        <v>2694</v>
      </c>
      <c r="C648" s="102">
        <v>12</v>
      </c>
      <c r="D648" s="118">
        <v>0.00829893519033519</v>
      </c>
      <c r="E648" s="118">
        <v>1.6728672017718138</v>
      </c>
      <c r="F648" s="102" t="s">
        <v>2611</v>
      </c>
      <c r="G648" s="102" t="b">
        <v>0</v>
      </c>
      <c r="H648" s="102" t="b">
        <v>0</v>
      </c>
      <c r="I648" s="102" t="b">
        <v>0</v>
      </c>
      <c r="J648" s="102" t="b">
        <v>0</v>
      </c>
      <c r="K648" s="102" t="b">
        <v>0</v>
      </c>
      <c r="L648" s="102" t="b">
        <v>0</v>
      </c>
    </row>
    <row r="649" spans="1:12" ht="15">
      <c r="A649" s="97" t="s">
        <v>2694</v>
      </c>
      <c r="B649" s="102" t="s">
        <v>2695</v>
      </c>
      <c r="C649" s="102">
        <v>12</v>
      </c>
      <c r="D649" s="118">
        <v>0.00829893519033519</v>
      </c>
      <c r="E649" s="118">
        <v>1.6728672017718138</v>
      </c>
      <c r="F649" s="102" t="s">
        <v>2611</v>
      </c>
      <c r="G649" s="102" t="b">
        <v>0</v>
      </c>
      <c r="H649" s="102" t="b">
        <v>0</v>
      </c>
      <c r="I649" s="102" t="b">
        <v>0</v>
      </c>
      <c r="J649" s="102" t="b">
        <v>0</v>
      </c>
      <c r="K649" s="102" t="b">
        <v>0</v>
      </c>
      <c r="L649" s="102" t="b">
        <v>0</v>
      </c>
    </row>
    <row r="650" spans="1:12" ht="15">
      <c r="A650" s="97" t="s">
        <v>2695</v>
      </c>
      <c r="B650" s="102" t="s">
        <v>2696</v>
      </c>
      <c r="C650" s="102">
        <v>12</v>
      </c>
      <c r="D650" s="118">
        <v>0.00829893519033519</v>
      </c>
      <c r="E650" s="118">
        <v>1.6728672017718138</v>
      </c>
      <c r="F650" s="102" t="s">
        <v>2611</v>
      </c>
      <c r="G650" s="102" t="b">
        <v>0</v>
      </c>
      <c r="H650" s="102" t="b">
        <v>0</v>
      </c>
      <c r="I650" s="102" t="b">
        <v>0</v>
      </c>
      <c r="J650" s="102" t="b">
        <v>0</v>
      </c>
      <c r="K650" s="102" t="b">
        <v>0</v>
      </c>
      <c r="L650" s="102" t="b">
        <v>0</v>
      </c>
    </row>
    <row r="651" spans="1:12" ht="15">
      <c r="A651" s="97" t="s">
        <v>2696</v>
      </c>
      <c r="B651" s="102" t="s">
        <v>2697</v>
      </c>
      <c r="C651" s="102">
        <v>12</v>
      </c>
      <c r="D651" s="118">
        <v>0.00829893519033519</v>
      </c>
      <c r="E651" s="118">
        <v>1.6728672017718138</v>
      </c>
      <c r="F651" s="102" t="s">
        <v>2611</v>
      </c>
      <c r="G651" s="102" t="b">
        <v>0</v>
      </c>
      <c r="H651" s="102" t="b">
        <v>0</v>
      </c>
      <c r="I651" s="102" t="b">
        <v>0</v>
      </c>
      <c r="J651" s="102" t="b">
        <v>0</v>
      </c>
      <c r="K651" s="102" t="b">
        <v>0</v>
      </c>
      <c r="L651" s="102" t="b">
        <v>0</v>
      </c>
    </row>
    <row r="652" spans="1:12" ht="15">
      <c r="A652" s="97" t="s">
        <v>2697</v>
      </c>
      <c r="B652" s="102" t="s">
        <v>712</v>
      </c>
      <c r="C652" s="102">
        <v>12</v>
      </c>
      <c r="D652" s="118">
        <v>0.00829893519033519</v>
      </c>
      <c r="E652" s="118">
        <v>1.2896504499204824</v>
      </c>
      <c r="F652" s="102" t="s">
        <v>2611</v>
      </c>
      <c r="G652" s="102" t="b">
        <v>0</v>
      </c>
      <c r="H652" s="102" t="b">
        <v>0</v>
      </c>
      <c r="I652" s="102" t="b">
        <v>0</v>
      </c>
      <c r="J652" s="102" t="b">
        <v>0</v>
      </c>
      <c r="K652" s="102" t="b">
        <v>0</v>
      </c>
      <c r="L652" s="102" t="b">
        <v>0</v>
      </c>
    </row>
    <row r="653" spans="1:12" ht="15">
      <c r="A653" s="97" t="s">
        <v>712</v>
      </c>
      <c r="B653" s="102" t="s">
        <v>2698</v>
      </c>
      <c r="C653" s="102">
        <v>12</v>
      </c>
      <c r="D653" s="118">
        <v>0.00829893519033519</v>
      </c>
      <c r="E653" s="118">
        <v>1.320684683660451</v>
      </c>
      <c r="F653" s="102" t="s">
        <v>2611</v>
      </c>
      <c r="G653" s="102" t="b">
        <v>0</v>
      </c>
      <c r="H653" s="102" t="b">
        <v>0</v>
      </c>
      <c r="I653" s="102" t="b">
        <v>0</v>
      </c>
      <c r="J653" s="102" t="b">
        <v>0</v>
      </c>
      <c r="K653" s="102" t="b">
        <v>0</v>
      </c>
      <c r="L653" s="102" t="b">
        <v>0</v>
      </c>
    </row>
    <row r="654" spans="1:12" ht="15">
      <c r="A654" s="97" t="s">
        <v>2698</v>
      </c>
      <c r="B654" s="102" t="s">
        <v>2699</v>
      </c>
      <c r="C654" s="102">
        <v>12</v>
      </c>
      <c r="D654" s="118">
        <v>0.00829893519033519</v>
      </c>
      <c r="E654" s="118">
        <v>1.6728672017718138</v>
      </c>
      <c r="F654" s="102" t="s">
        <v>2611</v>
      </c>
      <c r="G654" s="102" t="b">
        <v>0</v>
      </c>
      <c r="H654" s="102" t="b">
        <v>0</v>
      </c>
      <c r="I654" s="102" t="b">
        <v>0</v>
      </c>
      <c r="J654" s="102" t="b">
        <v>0</v>
      </c>
      <c r="K654" s="102" t="b">
        <v>0</v>
      </c>
      <c r="L654" s="102" t="b">
        <v>0</v>
      </c>
    </row>
    <row r="655" spans="1:12" ht="15">
      <c r="A655" s="97" t="s">
        <v>2699</v>
      </c>
      <c r="B655" s="102" t="s">
        <v>2700</v>
      </c>
      <c r="C655" s="102">
        <v>12</v>
      </c>
      <c r="D655" s="118">
        <v>0.00829893519033519</v>
      </c>
      <c r="E655" s="118">
        <v>1.6728672017718138</v>
      </c>
      <c r="F655" s="102" t="s">
        <v>2611</v>
      </c>
      <c r="G655" s="102" t="b">
        <v>0</v>
      </c>
      <c r="H655" s="102" t="b">
        <v>0</v>
      </c>
      <c r="I655" s="102" t="b">
        <v>0</v>
      </c>
      <c r="J655" s="102" t="b">
        <v>0</v>
      </c>
      <c r="K655" s="102" t="b">
        <v>0</v>
      </c>
      <c r="L655" s="102" t="b">
        <v>0</v>
      </c>
    </row>
    <row r="656" spans="1:12" ht="15">
      <c r="A656" s="97" t="s">
        <v>2700</v>
      </c>
      <c r="B656" s="102" t="s">
        <v>2701</v>
      </c>
      <c r="C656" s="102">
        <v>12</v>
      </c>
      <c r="D656" s="118">
        <v>0.00829893519033519</v>
      </c>
      <c r="E656" s="118">
        <v>1.6728672017718138</v>
      </c>
      <c r="F656" s="102" t="s">
        <v>2611</v>
      </c>
      <c r="G656" s="102" t="b">
        <v>0</v>
      </c>
      <c r="H656" s="102" t="b">
        <v>0</v>
      </c>
      <c r="I656" s="102" t="b">
        <v>0</v>
      </c>
      <c r="J656" s="102" t="b">
        <v>0</v>
      </c>
      <c r="K656" s="102" t="b">
        <v>0</v>
      </c>
      <c r="L656" s="102" t="b">
        <v>0</v>
      </c>
    </row>
    <row r="657" spans="1:12" ht="15">
      <c r="A657" s="97" t="s">
        <v>2701</v>
      </c>
      <c r="B657" s="102" t="s">
        <v>2684</v>
      </c>
      <c r="C657" s="102">
        <v>12</v>
      </c>
      <c r="D657" s="118">
        <v>0.00829893519033519</v>
      </c>
      <c r="E657" s="118">
        <v>1.6728672017718138</v>
      </c>
      <c r="F657" s="102" t="s">
        <v>2611</v>
      </c>
      <c r="G657" s="102" t="b">
        <v>0</v>
      </c>
      <c r="H657" s="102" t="b">
        <v>0</v>
      </c>
      <c r="I657" s="102" t="b">
        <v>0</v>
      </c>
      <c r="J657" s="102" t="b">
        <v>0</v>
      </c>
      <c r="K657" s="102" t="b">
        <v>0</v>
      </c>
      <c r="L657" s="102" t="b">
        <v>0</v>
      </c>
    </row>
    <row r="658" spans="1:12" ht="15">
      <c r="A658" s="97" t="s">
        <v>2684</v>
      </c>
      <c r="B658" s="102" t="s">
        <v>2680</v>
      </c>
      <c r="C658" s="102">
        <v>12</v>
      </c>
      <c r="D658" s="118">
        <v>0.00829893519033519</v>
      </c>
      <c r="E658" s="118">
        <v>1.5759571887637573</v>
      </c>
      <c r="F658" s="102" t="s">
        <v>2611</v>
      </c>
      <c r="G658" s="102" t="b">
        <v>0</v>
      </c>
      <c r="H658" s="102" t="b">
        <v>0</v>
      </c>
      <c r="I658" s="102" t="b">
        <v>0</v>
      </c>
      <c r="J658" s="102" t="b">
        <v>0</v>
      </c>
      <c r="K658" s="102" t="b">
        <v>0</v>
      </c>
      <c r="L658" s="102" t="b">
        <v>0</v>
      </c>
    </row>
    <row r="659" spans="1:12" ht="15">
      <c r="A659" s="97" t="s">
        <v>2680</v>
      </c>
      <c r="B659" s="102" t="s">
        <v>2702</v>
      </c>
      <c r="C659" s="102">
        <v>12</v>
      </c>
      <c r="D659" s="118">
        <v>0.00829893519033519</v>
      </c>
      <c r="E659" s="118">
        <v>1.5759571887637573</v>
      </c>
      <c r="F659" s="102" t="s">
        <v>2611</v>
      </c>
      <c r="G659" s="102" t="b">
        <v>0</v>
      </c>
      <c r="H659" s="102" t="b">
        <v>0</v>
      </c>
      <c r="I659" s="102" t="b">
        <v>0</v>
      </c>
      <c r="J659" s="102" t="b">
        <v>0</v>
      </c>
      <c r="K659" s="102" t="b">
        <v>0</v>
      </c>
      <c r="L659" s="102" t="b">
        <v>0</v>
      </c>
    </row>
    <row r="660" spans="1:12" ht="15">
      <c r="A660" s="97" t="s">
        <v>2702</v>
      </c>
      <c r="B660" s="102" t="s">
        <v>2703</v>
      </c>
      <c r="C660" s="102">
        <v>12</v>
      </c>
      <c r="D660" s="118">
        <v>0.00829893519033519</v>
      </c>
      <c r="E660" s="118">
        <v>1.6728672017718138</v>
      </c>
      <c r="F660" s="102" t="s">
        <v>2611</v>
      </c>
      <c r="G660" s="102" t="b">
        <v>0</v>
      </c>
      <c r="H660" s="102" t="b">
        <v>0</v>
      </c>
      <c r="I660" s="102" t="b">
        <v>0</v>
      </c>
      <c r="J660" s="102" t="b">
        <v>0</v>
      </c>
      <c r="K660" s="102" t="b">
        <v>0</v>
      </c>
      <c r="L660" s="102" t="b">
        <v>0</v>
      </c>
    </row>
    <row r="661" spans="1:12" ht="15">
      <c r="A661" s="97" t="s">
        <v>2703</v>
      </c>
      <c r="B661" s="102" t="s">
        <v>2677</v>
      </c>
      <c r="C661" s="102">
        <v>12</v>
      </c>
      <c r="D661" s="118">
        <v>0.00829893519033519</v>
      </c>
      <c r="E661" s="118">
        <v>1.5479284651635137</v>
      </c>
      <c r="F661" s="102" t="s">
        <v>2611</v>
      </c>
      <c r="G661" s="102" t="b">
        <v>0</v>
      </c>
      <c r="H661" s="102" t="b">
        <v>0</v>
      </c>
      <c r="I661" s="102" t="b">
        <v>0</v>
      </c>
      <c r="J661" s="102" t="b">
        <v>0</v>
      </c>
      <c r="K661" s="102" t="b">
        <v>0</v>
      </c>
      <c r="L661" s="102" t="b">
        <v>0</v>
      </c>
    </row>
    <row r="662" spans="1:12" ht="15">
      <c r="A662" s="97" t="s">
        <v>2677</v>
      </c>
      <c r="B662" s="102" t="s">
        <v>1480</v>
      </c>
      <c r="C662" s="102">
        <v>12</v>
      </c>
      <c r="D662" s="118">
        <v>0.00829893519033519</v>
      </c>
      <c r="E662" s="118">
        <v>1.5479284651635137</v>
      </c>
      <c r="F662" s="102" t="s">
        <v>2611</v>
      </c>
      <c r="G662" s="102" t="b">
        <v>0</v>
      </c>
      <c r="H662" s="102" t="b">
        <v>0</v>
      </c>
      <c r="I662" s="102" t="b">
        <v>0</v>
      </c>
      <c r="J662" s="102" t="b">
        <v>0</v>
      </c>
      <c r="K662" s="102" t="b">
        <v>0</v>
      </c>
      <c r="L662" s="102" t="b">
        <v>0</v>
      </c>
    </row>
    <row r="663" spans="1:12" ht="15">
      <c r="A663" s="97" t="s">
        <v>501</v>
      </c>
      <c r="B663" s="102" t="s">
        <v>2818</v>
      </c>
      <c r="C663" s="102">
        <v>3</v>
      </c>
      <c r="D663" s="118">
        <v>0.0051052371096372996</v>
      </c>
      <c r="E663" s="118">
        <v>2.0530784434834195</v>
      </c>
      <c r="F663" s="102" t="s">
        <v>2611</v>
      </c>
      <c r="G663" s="102" t="b">
        <v>0</v>
      </c>
      <c r="H663" s="102" t="b">
        <v>0</v>
      </c>
      <c r="I663" s="102" t="b">
        <v>0</v>
      </c>
      <c r="J663" s="102" t="b">
        <v>0</v>
      </c>
      <c r="K663" s="102" t="b">
        <v>0</v>
      </c>
      <c r="L663" s="102" t="b">
        <v>0</v>
      </c>
    </row>
    <row r="664" spans="1:12" ht="15">
      <c r="A664" s="97" t="s">
        <v>2818</v>
      </c>
      <c r="B664" s="102" t="s">
        <v>2819</v>
      </c>
      <c r="C664" s="102">
        <v>3</v>
      </c>
      <c r="D664" s="118">
        <v>0.0051052371096372996</v>
      </c>
      <c r="E664" s="118">
        <v>2.274927193099776</v>
      </c>
      <c r="F664" s="102" t="s">
        <v>2611</v>
      </c>
      <c r="G664" s="102" t="b">
        <v>0</v>
      </c>
      <c r="H664" s="102" t="b">
        <v>0</v>
      </c>
      <c r="I664" s="102" t="b">
        <v>0</v>
      </c>
      <c r="J664" s="102" t="b">
        <v>0</v>
      </c>
      <c r="K664" s="102" t="b">
        <v>0</v>
      </c>
      <c r="L664" s="102" t="b">
        <v>0</v>
      </c>
    </row>
    <row r="665" spans="1:12" ht="15">
      <c r="A665" s="97" t="s">
        <v>2819</v>
      </c>
      <c r="B665" s="102" t="s">
        <v>2820</v>
      </c>
      <c r="C665" s="102">
        <v>3</v>
      </c>
      <c r="D665" s="118">
        <v>0.0051052371096372996</v>
      </c>
      <c r="E665" s="118">
        <v>2.274927193099776</v>
      </c>
      <c r="F665" s="102" t="s">
        <v>2611</v>
      </c>
      <c r="G665" s="102" t="b">
        <v>0</v>
      </c>
      <c r="H665" s="102" t="b">
        <v>0</v>
      </c>
      <c r="I665" s="102" t="b">
        <v>0</v>
      </c>
      <c r="J665" s="102" t="b">
        <v>0</v>
      </c>
      <c r="K665" s="102" t="b">
        <v>0</v>
      </c>
      <c r="L665" s="102" t="b">
        <v>0</v>
      </c>
    </row>
    <row r="666" spans="1:12" ht="15">
      <c r="A666" s="97" t="s">
        <v>2820</v>
      </c>
      <c r="B666" s="102" t="s">
        <v>2821</v>
      </c>
      <c r="C666" s="102">
        <v>3</v>
      </c>
      <c r="D666" s="118">
        <v>0.0051052371096372996</v>
      </c>
      <c r="E666" s="118">
        <v>2.274927193099776</v>
      </c>
      <c r="F666" s="102" t="s">
        <v>2611</v>
      </c>
      <c r="G666" s="102" t="b">
        <v>0</v>
      </c>
      <c r="H666" s="102" t="b">
        <v>0</v>
      </c>
      <c r="I666" s="102" t="b">
        <v>0</v>
      </c>
      <c r="J666" s="102" t="b">
        <v>0</v>
      </c>
      <c r="K666" s="102" t="b">
        <v>0</v>
      </c>
      <c r="L666" s="102" t="b">
        <v>0</v>
      </c>
    </row>
    <row r="667" spans="1:12" ht="15">
      <c r="A667" s="97" t="s">
        <v>2821</v>
      </c>
      <c r="B667" s="102" t="s">
        <v>2822</v>
      </c>
      <c r="C667" s="102">
        <v>3</v>
      </c>
      <c r="D667" s="118">
        <v>0.0051052371096372996</v>
      </c>
      <c r="E667" s="118">
        <v>2.274927193099776</v>
      </c>
      <c r="F667" s="102" t="s">
        <v>2611</v>
      </c>
      <c r="G667" s="102" t="b">
        <v>0</v>
      </c>
      <c r="H667" s="102" t="b">
        <v>0</v>
      </c>
      <c r="I667" s="102" t="b">
        <v>0</v>
      </c>
      <c r="J667" s="102" t="b">
        <v>0</v>
      </c>
      <c r="K667" s="102" t="b">
        <v>0</v>
      </c>
      <c r="L667" s="102" t="b">
        <v>0</v>
      </c>
    </row>
    <row r="668" spans="1:12" ht="15">
      <c r="A668" s="97" t="s">
        <v>2822</v>
      </c>
      <c r="B668" s="102" t="s">
        <v>2823</v>
      </c>
      <c r="C668" s="102">
        <v>3</v>
      </c>
      <c r="D668" s="118">
        <v>0.0051052371096372996</v>
      </c>
      <c r="E668" s="118">
        <v>2.274927193099776</v>
      </c>
      <c r="F668" s="102" t="s">
        <v>2611</v>
      </c>
      <c r="G668" s="102" t="b">
        <v>0</v>
      </c>
      <c r="H668" s="102" t="b">
        <v>0</v>
      </c>
      <c r="I668" s="102" t="b">
        <v>0</v>
      </c>
      <c r="J668" s="102" t="b">
        <v>0</v>
      </c>
      <c r="K668" s="102" t="b">
        <v>0</v>
      </c>
      <c r="L668" s="102" t="b">
        <v>0</v>
      </c>
    </row>
    <row r="669" spans="1:12" ht="15">
      <c r="A669" s="97" t="s">
        <v>2823</v>
      </c>
      <c r="B669" s="102" t="s">
        <v>2824</v>
      </c>
      <c r="C669" s="102">
        <v>3</v>
      </c>
      <c r="D669" s="118">
        <v>0.0051052371096372996</v>
      </c>
      <c r="E669" s="118">
        <v>2.274927193099776</v>
      </c>
      <c r="F669" s="102" t="s">
        <v>2611</v>
      </c>
      <c r="G669" s="102" t="b">
        <v>0</v>
      </c>
      <c r="H669" s="102" t="b">
        <v>0</v>
      </c>
      <c r="I669" s="102" t="b">
        <v>0</v>
      </c>
      <c r="J669" s="102" t="b">
        <v>0</v>
      </c>
      <c r="K669" s="102" t="b">
        <v>0</v>
      </c>
      <c r="L669" s="102" t="b">
        <v>0</v>
      </c>
    </row>
    <row r="670" spans="1:12" ht="15">
      <c r="A670" s="97" t="s">
        <v>2824</v>
      </c>
      <c r="B670" s="102" t="s">
        <v>2825</v>
      </c>
      <c r="C670" s="102">
        <v>3</v>
      </c>
      <c r="D670" s="118">
        <v>0.0051052371096372996</v>
      </c>
      <c r="E670" s="118">
        <v>2.274927193099776</v>
      </c>
      <c r="F670" s="102" t="s">
        <v>2611</v>
      </c>
      <c r="G670" s="102" t="b">
        <v>0</v>
      </c>
      <c r="H670" s="102" t="b">
        <v>0</v>
      </c>
      <c r="I670" s="102" t="b">
        <v>0</v>
      </c>
      <c r="J670" s="102" t="b">
        <v>0</v>
      </c>
      <c r="K670" s="102" t="b">
        <v>0</v>
      </c>
      <c r="L670" s="102" t="b">
        <v>0</v>
      </c>
    </row>
    <row r="671" spans="1:12" ht="15">
      <c r="A671" s="97" t="s">
        <v>2825</v>
      </c>
      <c r="B671" s="102" t="s">
        <v>2768</v>
      </c>
      <c r="C671" s="102">
        <v>3</v>
      </c>
      <c r="D671" s="118">
        <v>0.0051052371096372996</v>
      </c>
      <c r="E671" s="118">
        <v>2.274927193099776</v>
      </c>
      <c r="F671" s="102" t="s">
        <v>2611</v>
      </c>
      <c r="G671" s="102" t="b">
        <v>0</v>
      </c>
      <c r="H671" s="102" t="b">
        <v>0</v>
      </c>
      <c r="I671" s="102" t="b">
        <v>0</v>
      </c>
      <c r="J671" s="102" t="b">
        <v>0</v>
      </c>
      <c r="K671" s="102" t="b">
        <v>0</v>
      </c>
      <c r="L671" s="102" t="b">
        <v>0</v>
      </c>
    </row>
    <row r="672" spans="1:12" ht="15">
      <c r="A672" s="97" t="s">
        <v>2768</v>
      </c>
      <c r="B672" s="102" t="s">
        <v>2826</v>
      </c>
      <c r="C672" s="102">
        <v>3</v>
      </c>
      <c r="D672" s="118">
        <v>0.0051052371096372996</v>
      </c>
      <c r="E672" s="118">
        <v>2.274927193099776</v>
      </c>
      <c r="F672" s="102" t="s">
        <v>2611</v>
      </c>
      <c r="G672" s="102" t="b">
        <v>0</v>
      </c>
      <c r="H672" s="102" t="b">
        <v>0</v>
      </c>
      <c r="I672" s="102" t="b">
        <v>0</v>
      </c>
      <c r="J672" s="102" t="b">
        <v>0</v>
      </c>
      <c r="K672" s="102" t="b">
        <v>0</v>
      </c>
      <c r="L672" s="102" t="b">
        <v>0</v>
      </c>
    </row>
    <row r="673" spans="1:12" ht="15">
      <c r="A673" s="97" t="s">
        <v>2826</v>
      </c>
      <c r="B673" s="102" t="s">
        <v>2827</v>
      </c>
      <c r="C673" s="102">
        <v>3</v>
      </c>
      <c r="D673" s="118">
        <v>0.0051052371096372996</v>
      </c>
      <c r="E673" s="118">
        <v>2.274927193099776</v>
      </c>
      <c r="F673" s="102" t="s">
        <v>2611</v>
      </c>
      <c r="G673" s="102" t="b">
        <v>0</v>
      </c>
      <c r="H673" s="102" t="b">
        <v>0</v>
      </c>
      <c r="I673" s="102" t="b">
        <v>0</v>
      </c>
      <c r="J673" s="102" t="b">
        <v>0</v>
      </c>
      <c r="K673" s="102" t="b">
        <v>0</v>
      </c>
      <c r="L673" s="102" t="b">
        <v>0</v>
      </c>
    </row>
    <row r="674" spans="1:12" ht="15">
      <c r="A674" s="97" t="s">
        <v>2827</v>
      </c>
      <c r="B674" s="102" t="s">
        <v>2677</v>
      </c>
      <c r="C674" s="102">
        <v>3</v>
      </c>
      <c r="D674" s="118">
        <v>0.0051052371096372996</v>
      </c>
      <c r="E674" s="118">
        <v>1.5479284651635137</v>
      </c>
      <c r="F674" s="102" t="s">
        <v>2611</v>
      </c>
      <c r="G674" s="102" t="b">
        <v>0</v>
      </c>
      <c r="H674" s="102" t="b">
        <v>0</v>
      </c>
      <c r="I674" s="102" t="b">
        <v>0</v>
      </c>
      <c r="J674" s="102" t="b">
        <v>0</v>
      </c>
      <c r="K674" s="102" t="b">
        <v>0</v>
      </c>
      <c r="L674" s="102" t="b">
        <v>0</v>
      </c>
    </row>
    <row r="675" spans="1:12" ht="15">
      <c r="A675" s="97" t="s">
        <v>2677</v>
      </c>
      <c r="B675" s="102" t="s">
        <v>2828</v>
      </c>
      <c r="C675" s="102">
        <v>3</v>
      </c>
      <c r="D675" s="118">
        <v>0.0051052371096372996</v>
      </c>
      <c r="E675" s="118">
        <v>1.5479284651635137</v>
      </c>
      <c r="F675" s="102" t="s">
        <v>2611</v>
      </c>
      <c r="G675" s="102" t="b">
        <v>0</v>
      </c>
      <c r="H675" s="102" t="b">
        <v>0</v>
      </c>
      <c r="I675" s="102" t="b">
        <v>0</v>
      </c>
      <c r="J675" s="102" t="b">
        <v>0</v>
      </c>
      <c r="K675" s="102" t="b">
        <v>0</v>
      </c>
      <c r="L675" s="102" t="b">
        <v>0</v>
      </c>
    </row>
    <row r="676" spans="1:12" ht="15">
      <c r="A676" s="97" t="s">
        <v>2828</v>
      </c>
      <c r="B676" s="102" t="s">
        <v>2680</v>
      </c>
      <c r="C676" s="102">
        <v>3</v>
      </c>
      <c r="D676" s="118">
        <v>0.0051052371096372996</v>
      </c>
      <c r="E676" s="118">
        <v>1.5759571887637573</v>
      </c>
      <c r="F676" s="102" t="s">
        <v>2611</v>
      </c>
      <c r="G676" s="102" t="b">
        <v>0</v>
      </c>
      <c r="H676" s="102" t="b">
        <v>0</v>
      </c>
      <c r="I676" s="102" t="b">
        <v>0</v>
      </c>
      <c r="J676" s="102" t="b">
        <v>0</v>
      </c>
      <c r="K676" s="102" t="b">
        <v>0</v>
      </c>
      <c r="L676" s="102" t="b">
        <v>0</v>
      </c>
    </row>
    <row r="677" spans="1:12" ht="15">
      <c r="A677" s="97" t="s">
        <v>2680</v>
      </c>
      <c r="B677" s="102" t="s">
        <v>2769</v>
      </c>
      <c r="C677" s="102">
        <v>3</v>
      </c>
      <c r="D677" s="118">
        <v>0.0051052371096372996</v>
      </c>
      <c r="E677" s="118">
        <v>1.5759571887637573</v>
      </c>
      <c r="F677" s="102" t="s">
        <v>2611</v>
      </c>
      <c r="G677" s="102" t="b">
        <v>0</v>
      </c>
      <c r="H677" s="102" t="b">
        <v>0</v>
      </c>
      <c r="I677" s="102" t="b">
        <v>0</v>
      </c>
      <c r="J677" s="102" t="b">
        <v>0</v>
      </c>
      <c r="K677" s="102" t="b">
        <v>0</v>
      </c>
      <c r="L677" s="102" t="b">
        <v>0</v>
      </c>
    </row>
    <row r="678" spans="1:12" ht="15">
      <c r="A678" s="97" t="s">
        <v>2769</v>
      </c>
      <c r="B678" s="102" t="s">
        <v>2829</v>
      </c>
      <c r="C678" s="102">
        <v>3</v>
      </c>
      <c r="D678" s="118">
        <v>0.0051052371096372996</v>
      </c>
      <c r="E678" s="118">
        <v>2.274927193099776</v>
      </c>
      <c r="F678" s="102" t="s">
        <v>2611</v>
      </c>
      <c r="G678" s="102" t="b">
        <v>0</v>
      </c>
      <c r="H678" s="102" t="b">
        <v>0</v>
      </c>
      <c r="I678" s="102" t="b">
        <v>0</v>
      </c>
      <c r="J678" s="102" t="b">
        <v>0</v>
      </c>
      <c r="K678" s="102" t="b">
        <v>0</v>
      </c>
      <c r="L678" s="102" t="b">
        <v>0</v>
      </c>
    </row>
    <row r="679" spans="1:12" ht="15">
      <c r="A679" s="97" t="s">
        <v>2829</v>
      </c>
      <c r="B679" s="102" t="s">
        <v>2830</v>
      </c>
      <c r="C679" s="102">
        <v>3</v>
      </c>
      <c r="D679" s="118">
        <v>0.0051052371096372996</v>
      </c>
      <c r="E679" s="118">
        <v>2.274927193099776</v>
      </c>
      <c r="F679" s="102" t="s">
        <v>2611</v>
      </c>
      <c r="G679" s="102" t="b">
        <v>0</v>
      </c>
      <c r="H679" s="102" t="b">
        <v>0</v>
      </c>
      <c r="I679" s="102" t="b">
        <v>0</v>
      </c>
      <c r="J679" s="102" t="b">
        <v>0</v>
      </c>
      <c r="K679" s="102" t="b">
        <v>0</v>
      </c>
      <c r="L679" s="102" t="b">
        <v>0</v>
      </c>
    </row>
    <row r="680" spans="1:12" ht="15">
      <c r="A680" s="97" t="s">
        <v>2830</v>
      </c>
      <c r="B680" s="102" t="s">
        <v>2831</v>
      </c>
      <c r="C680" s="102">
        <v>3</v>
      </c>
      <c r="D680" s="118">
        <v>0.0051052371096372996</v>
      </c>
      <c r="E680" s="118">
        <v>2.274927193099776</v>
      </c>
      <c r="F680" s="102" t="s">
        <v>2611</v>
      </c>
      <c r="G680" s="102" t="b">
        <v>0</v>
      </c>
      <c r="H680" s="102" t="b">
        <v>0</v>
      </c>
      <c r="I680" s="102" t="b">
        <v>0</v>
      </c>
      <c r="J680" s="102" t="b">
        <v>0</v>
      </c>
      <c r="K680" s="102" t="b">
        <v>0</v>
      </c>
      <c r="L680" s="102" t="b">
        <v>0</v>
      </c>
    </row>
    <row r="681" spans="1:12" ht="15">
      <c r="A681" s="97" t="s">
        <v>2831</v>
      </c>
      <c r="B681" s="102" t="s">
        <v>712</v>
      </c>
      <c r="C681" s="102">
        <v>3</v>
      </c>
      <c r="D681" s="118">
        <v>0.0051052371096372996</v>
      </c>
      <c r="E681" s="118">
        <v>1.2896504499204824</v>
      </c>
      <c r="F681" s="102" t="s">
        <v>2611</v>
      </c>
      <c r="G681" s="102" t="b">
        <v>0</v>
      </c>
      <c r="H681" s="102" t="b">
        <v>0</v>
      </c>
      <c r="I681" s="102" t="b">
        <v>0</v>
      </c>
      <c r="J681" s="102" t="b">
        <v>0</v>
      </c>
      <c r="K681" s="102" t="b">
        <v>0</v>
      </c>
      <c r="L681" s="102" t="b">
        <v>0</v>
      </c>
    </row>
    <row r="682" spans="1:12" ht="15">
      <c r="A682" s="97" t="s">
        <v>712</v>
      </c>
      <c r="B682" s="102" t="s">
        <v>3019</v>
      </c>
      <c r="C682" s="102">
        <v>2</v>
      </c>
      <c r="D682" s="118">
        <v>0.003994401671712387</v>
      </c>
      <c r="E682" s="118">
        <v>1.320684683660451</v>
      </c>
      <c r="F682" s="102" t="s">
        <v>2611</v>
      </c>
      <c r="G682" s="102" t="b">
        <v>0</v>
      </c>
      <c r="H682" s="102" t="b">
        <v>0</v>
      </c>
      <c r="I682" s="102" t="b">
        <v>0</v>
      </c>
      <c r="J682" s="102" t="b">
        <v>0</v>
      </c>
      <c r="K682" s="102" t="b">
        <v>0</v>
      </c>
      <c r="L682" s="102" t="b">
        <v>0</v>
      </c>
    </row>
    <row r="683" spans="1:12" ht="15">
      <c r="A683" s="97" t="s">
        <v>499</v>
      </c>
      <c r="B683" s="102" t="s">
        <v>498</v>
      </c>
      <c r="C683" s="102">
        <v>2</v>
      </c>
      <c r="D683" s="118">
        <v>0.003994401671712387</v>
      </c>
      <c r="E683" s="118">
        <v>2.4510184521554574</v>
      </c>
      <c r="F683" s="102" t="s">
        <v>2611</v>
      </c>
      <c r="G683" s="102" t="b">
        <v>0</v>
      </c>
      <c r="H683" s="102" t="b">
        <v>0</v>
      </c>
      <c r="I683" s="102" t="b">
        <v>0</v>
      </c>
      <c r="J683" s="102" t="b">
        <v>0</v>
      </c>
      <c r="K683" s="102" t="b">
        <v>0</v>
      </c>
      <c r="L683" s="102" t="b">
        <v>0</v>
      </c>
    </row>
    <row r="684" spans="1:12" ht="15">
      <c r="A684" s="97" t="s">
        <v>712</v>
      </c>
      <c r="B684" s="102" t="s">
        <v>2661</v>
      </c>
      <c r="C684" s="102">
        <v>2</v>
      </c>
      <c r="D684" s="118">
        <v>0.008272208821164737</v>
      </c>
      <c r="E684" s="118">
        <v>0.8828866009036566</v>
      </c>
      <c r="F684" s="102" t="s">
        <v>2612</v>
      </c>
      <c r="G684" s="102" t="b">
        <v>0</v>
      </c>
      <c r="H684" s="102" t="b">
        <v>0</v>
      </c>
      <c r="I684" s="102" t="b">
        <v>0</v>
      </c>
      <c r="J684" s="102" t="b">
        <v>0</v>
      </c>
      <c r="K684" s="102" t="b">
        <v>0</v>
      </c>
      <c r="L684" s="102" t="b">
        <v>0</v>
      </c>
    </row>
    <row r="685" spans="1:12" ht="15">
      <c r="A685" s="97" t="s">
        <v>2661</v>
      </c>
      <c r="B685" s="102" t="s">
        <v>2734</v>
      </c>
      <c r="C685" s="102">
        <v>2</v>
      </c>
      <c r="D685" s="118">
        <v>0.008272208821164737</v>
      </c>
      <c r="E685" s="118">
        <v>1.4471580313422192</v>
      </c>
      <c r="F685" s="102" t="s">
        <v>2612</v>
      </c>
      <c r="G685" s="102" t="b">
        <v>0</v>
      </c>
      <c r="H685" s="102" t="b">
        <v>0</v>
      </c>
      <c r="I685" s="102" t="b">
        <v>0</v>
      </c>
      <c r="J685" s="102" t="b">
        <v>0</v>
      </c>
      <c r="K685" s="102" t="b">
        <v>0</v>
      </c>
      <c r="L685" s="102" t="b">
        <v>0</v>
      </c>
    </row>
    <row r="686" spans="1:12" ht="15">
      <c r="A686" s="97" t="s">
        <v>393</v>
      </c>
      <c r="B686" s="102" t="s">
        <v>388</v>
      </c>
      <c r="C686" s="102">
        <v>2</v>
      </c>
      <c r="D686" s="118">
        <v>0.00983755164370438</v>
      </c>
      <c r="E686" s="118">
        <v>1.260071387985075</v>
      </c>
      <c r="F686" s="102" t="s">
        <v>2613</v>
      </c>
      <c r="G686" s="102" t="b">
        <v>0</v>
      </c>
      <c r="H686" s="102" t="b">
        <v>0</v>
      </c>
      <c r="I686" s="102" t="b">
        <v>0</v>
      </c>
      <c r="J686" s="102" t="b">
        <v>0</v>
      </c>
      <c r="K686" s="102" t="b">
        <v>0</v>
      </c>
      <c r="L686" s="102" t="b">
        <v>0</v>
      </c>
    </row>
    <row r="687" spans="1:12" ht="15">
      <c r="A687" s="97" t="s">
        <v>388</v>
      </c>
      <c r="B687" s="102" t="s">
        <v>3062</v>
      </c>
      <c r="C687" s="102">
        <v>2</v>
      </c>
      <c r="D687" s="118">
        <v>0.00983755164370438</v>
      </c>
      <c r="E687" s="118">
        <v>1.260071387985075</v>
      </c>
      <c r="F687" s="102" t="s">
        <v>2613</v>
      </c>
      <c r="G687" s="102" t="b">
        <v>0</v>
      </c>
      <c r="H687" s="102" t="b">
        <v>0</v>
      </c>
      <c r="I687" s="102" t="b">
        <v>0</v>
      </c>
      <c r="J687" s="102" t="b">
        <v>0</v>
      </c>
      <c r="K687" s="102" t="b">
        <v>0</v>
      </c>
      <c r="L687" s="102" t="b">
        <v>0</v>
      </c>
    </row>
    <row r="688" spans="1:12" ht="15">
      <c r="A688" s="97" t="s">
        <v>3062</v>
      </c>
      <c r="B688" s="102" t="s">
        <v>3063</v>
      </c>
      <c r="C688" s="102">
        <v>2</v>
      </c>
      <c r="D688" s="118">
        <v>0.00983755164370438</v>
      </c>
      <c r="E688" s="118">
        <v>1.6580113966571124</v>
      </c>
      <c r="F688" s="102" t="s">
        <v>2613</v>
      </c>
      <c r="G688" s="102" t="b">
        <v>0</v>
      </c>
      <c r="H688" s="102" t="b">
        <v>0</v>
      </c>
      <c r="I688" s="102" t="b">
        <v>0</v>
      </c>
      <c r="J688" s="102" t="b">
        <v>0</v>
      </c>
      <c r="K688" s="102" t="b">
        <v>0</v>
      </c>
      <c r="L688" s="102" t="b">
        <v>0</v>
      </c>
    </row>
    <row r="689" spans="1:12" ht="15">
      <c r="A689" s="97" t="s">
        <v>3063</v>
      </c>
      <c r="B689" s="102" t="s">
        <v>2674</v>
      </c>
      <c r="C689" s="102">
        <v>2</v>
      </c>
      <c r="D689" s="118">
        <v>0.00983755164370438</v>
      </c>
      <c r="E689" s="118">
        <v>1.6580113966571124</v>
      </c>
      <c r="F689" s="102" t="s">
        <v>2613</v>
      </c>
      <c r="G689" s="102" t="b">
        <v>0</v>
      </c>
      <c r="H689" s="102" t="b">
        <v>0</v>
      </c>
      <c r="I689" s="102" t="b">
        <v>0</v>
      </c>
      <c r="J689" s="102" t="b">
        <v>0</v>
      </c>
      <c r="K689" s="102" t="b">
        <v>0</v>
      </c>
      <c r="L689" s="102" t="b">
        <v>0</v>
      </c>
    </row>
    <row r="690" spans="1:12" ht="15">
      <c r="A690" s="97" t="s">
        <v>2674</v>
      </c>
      <c r="B690" s="102" t="s">
        <v>2866</v>
      </c>
      <c r="C690" s="102">
        <v>2</v>
      </c>
      <c r="D690" s="118">
        <v>0.00983755164370438</v>
      </c>
      <c r="E690" s="118">
        <v>1.6580113966571124</v>
      </c>
      <c r="F690" s="102" t="s">
        <v>2613</v>
      </c>
      <c r="G690" s="102" t="b">
        <v>0</v>
      </c>
      <c r="H690" s="102" t="b">
        <v>0</v>
      </c>
      <c r="I690" s="102" t="b">
        <v>0</v>
      </c>
      <c r="J690" s="102" t="b">
        <v>0</v>
      </c>
      <c r="K690" s="102" t="b">
        <v>0</v>
      </c>
      <c r="L690" s="102" t="b">
        <v>0</v>
      </c>
    </row>
    <row r="691" spans="1:12" ht="15">
      <c r="A691" s="97" t="s">
        <v>2866</v>
      </c>
      <c r="B691" s="102" t="s">
        <v>2865</v>
      </c>
      <c r="C691" s="102">
        <v>2</v>
      </c>
      <c r="D691" s="118">
        <v>0.00983755164370438</v>
      </c>
      <c r="E691" s="118">
        <v>1.6580113966571124</v>
      </c>
      <c r="F691" s="102" t="s">
        <v>2613</v>
      </c>
      <c r="G691" s="102" t="b">
        <v>0</v>
      </c>
      <c r="H691" s="102" t="b">
        <v>0</v>
      </c>
      <c r="I691" s="102" t="b">
        <v>0</v>
      </c>
      <c r="J691" s="102" t="b">
        <v>0</v>
      </c>
      <c r="K691" s="102" t="b">
        <v>0</v>
      </c>
      <c r="L691" s="102" t="b">
        <v>0</v>
      </c>
    </row>
    <row r="692" spans="1:12" ht="15">
      <c r="A692" s="97" t="s">
        <v>2865</v>
      </c>
      <c r="B692" s="102" t="s">
        <v>3064</v>
      </c>
      <c r="C692" s="102">
        <v>2</v>
      </c>
      <c r="D692" s="118">
        <v>0.00983755164370438</v>
      </c>
      <c r="E692" s="118">
        <v>1.6580113966571124</v>
      </c>
      <c r="F692" s="102" t="s">
        <v>2613</v>
      </c>
      <c r="G692" s="102" t="b">
        <v>0</v>
      </c>
      <c r="H692" s="102" t="b">
        <v>0</v>
      </c>
      <c r="I692" s="102" t="b">
        <v>0</v>
      </c>
      <c r="J692" s="102" t="b">
        <v>0</v>
      </c>
      <c r="K692" s="102" t="b">
        <v>0</v>
      </c>
      <c r="L692" s="102" t="b">
        <v>0</v>
      </c>
    </row>
    <row r="693" spans="1:12" ht="15">
      <c r="A693" s="97" t="s">
        <v>3064</v>
      </c>
      <c r="B693" s="102" t="s">
        <v>2661</v>
      </c>
      <c r="C693" s="102">
        <v>2</v>
      </c>
      <c r="D693" s="118">
        <v>0.00983755164370438</v>
      </c>
      <c r="E693" s="118">
        <v>1.6580113966571124</v>
      </c>
      <c r="F693" s="102" t="s">
        <v>2613</v>
      </c>
      <c r="G693" s="102" t="b">
        <v>0</v>
      </c>
      <c r="H693" s="102" t="b">
        <v>0</v>
      </c>
      <c r="I693" s="102" t="b">
        <v>0</v>
      </c>
      <c r="J693" s="102" t="b">
        <v>0</v>
      </c>
      <c r="K693" s="102" t="b">
        <v>0</v>
      </c>
      <c r="L693" s="102" t="b">
        <v>0</v>
      </c>
    </row>
    <row r="694" spans="1:12" ht="15">
      <c r="A694" s="97" t="s">
        <v>2661</v>
      </c>
      <c r="B694" s="102" t="s">
        <v>2716</v>
      </c>
      <c r="C694" s="102">
        <v>2</v>
      </c>
      <c r="D694" s="118">
        <v>0.00983755164370438</v>
      </c>
      <c r="E694" s="118">
        <v>1.6580113966571124</v>
      </c>
      <c r="F694" s="102" t="s">
        <v>2613</v>
      </c>
      <c r="G694" s="102" t="b">
        <v>0</v>
      </c>
      <c r="H694" s="102" t="b">
        <v>0</v>
      </c>
      <c r="I694" s="102" t="b">
        <v>0</v>
      </c>
      <c r="J694" s="102" t="b">
        <v>0</v>
      </c>
      <c r="K694" s="102" t="b">
        <v>0</v>
      </c>
      <c r="L694" s="102" t="b">
        <v>0</v>
      </c>
    </row>
    <row r="695" spans="1:12" ht="15">
      <c r="A695" s="97" t="s">
        <v>2716</v>
      </c>
      <c r="B695" s="102" t="s">
        <v>2839</v>
      </c>
      <c r="C695" s="102">
        <v>2</v>
      </c>
      <c r="D695" s="118">
        <v>0.00983755164370438</v>
      </c>
      <c r="E695" s="118">
        <v>1.6580113966571124</v>
      </c>
      <c r="F695" s="102" t="s">
        <v>2613</v>
      </c>
      <c r="G695" s="102" t="b">
        <v>0</v>
      </c>
      <c r="H695" s="102" t="b">
        <v>0</v>
      </c>
      <c r="I695" s="102" t="b">
        <v>0</v>
      </c>
      <c r="J695" s="102" t="b">
        <v>0</v>
      </c>
      <c r="K695" s="102" t="b">
        <v>0</v>
      </c>
      <c r="L695" s="102" t="b">
        <v>0</v>
      </c>
    </row>
    <row r="696" spans="1:12" ht="15">
      <c r="A696" s="97" t="s">
        <v>2839</v>
      </c>
      <c r="B696" s="102" t="s">
        <v>3065</v>
      </c>
      <c r="C696" s="102">
        <v>2</v>
      </c>
      <c r="D696" s="118">
        <v>0.00983755164370438</v>
      </c>
      <c r="E696" s="118">
        <v>1.6580113966571124</v>
      </c>
      <c r="F696" s="102" t="s">
        <v>2613</v>
      </c>
      <c r="G696" s="102" t="b">
        <v>0</v>
      </c>
      <c r="H696" s="102" t="b">
        <v>0</v>
      </c>
      <c r="I696" s="102" t="b">
        <v>0</v>
      </c>
      <c r="J696" s="102" t="b">
        <v>0</v>
      </c>
      <c r="K696" s="102" t="b">
        <v>0</v>
      </c>
      <c r="L696" s="102" t="b">
        <v>0</v>
      </c>
    </row>
    <row r="697" spans="1:12" ht="15">
      <c r="A697" s="97" t="s">
        <v>3065</v>
      </c>
      <c r="B697" s="102" t="s">
        <v>712</v>
      </c>
      <c r="C697" s="102">
        <v>2</v>
      </c>
      <c r="D697" s="118">
        <v>0.00983755164370438</v>
      </c>
      <c r="E697" s="118">
        <v>1.18089014193745</v>
      </c>
      <c r="F697" s="102" t="s">
        <v>2613</v>
      </c>
      <c r="G697" s="102" t="b">
        <v>0</v>
      </c>
      <c r="H697" s="102" t="b">
        <v>0</v>
      </c>
      <c r="I697" s="102" t="b">
        <v>0</v>
      </c>
      <c r="J697" s="102" t="b">
        <v>0</v>
      </c>
      <c r="K697" s="102" t="b">
        <v>0</v>
      </c>
      <c r="L697" s="102" t="b">
        <v>0</v>
      </c>
    </row>
    <row r="698" spans="1:12" ht="15">
      <c r="A698" s="97" t="s">
        <v>712</v>
      </c>
      <c r="B698" s="102" t="s">
        <v>2777</v>
      </c>
      <c r="C698" s="102">
        <v>2</v>
      </c>
      <c r="D698" s="118">
        <v>0.00983755164370438</v>
      </c>
      <c r="E698" s="118">
        <v>1.260071387985075</v>
      </c>
      <c r="F698" s="102" t="s">
        <v>2613</v>
      </c>
      <c r="G698" s="102" t="b">
        <v>0</v>
      </c>
      <c r="H698" s="102" t="b">
        <v>0</v>
      </c>
      <c r="I698" s="102" t="b">
        <v>0</v>
      </c>
      <c r="J698" s="102" t="b">
        <v>0</v>
      </c>
      <c r="K698" s="102" t="b">
        <v>0</v>
      </c>
      <c r="L698" s="102" t="b">
        <v>0</v>
      </c>
    </row>
    <row r="699" spans="1:12" ht="15">
      <c r="A699" s="97" t="s">
        <v>2777</v>
      </c>
      <c r="B699" s="102" t="s">
        <v>3066</v>
      </c>
      <c r="C699" s="102">
        <v>2</v>
      </c>
      <c r="D699" s="118">
        <v>0.00983755164370438</v>
      </c>
      <c r="E699" s="118">
        <v>1.6580113966571124</v>
      </c>
      <c r="F699" s="102" t="s">
        <v>2613</v>
      </c>
      <c r="G699" s="102" t="b">
        <v>0</v>
      </c>
      <c r="H699" s="102" t="b">
        <v>0</v>
      </c>
      <c r="I699" s="102" t="b">
        <v>0</v>
      </c>
      <c r="J699" s="102" t="b">
        <v>0</v>
      </c>
      <c r="K699" s="102" t="b">
        <v>0</v>
      </c>
      <c r="L699" s="102" t="b">
        <v>0</v>
      </c>
    </row>
    <row r="700" spans="1:12" ht="15">
      <c r="A700" s="97" t="s">
        <v>3066</v>
      </c>
      <c r="B700" s="102" t="s">
        <v>2789</v>
      </c>
      <c r="C700" s="102">
        <v>2</v>
      </c>
      <c r="D700" s="118">
        <v>0.00983755164370438</v>
      </c>
      <c r="E700" s="118">
        <v>1.6580113966571124</v>
      </c>
      <c r="F700" s="102" t="s">
        <v>2613</v>
      </c>
      <c r="G700" s="102" t="b">
        <v>0</v>
      </c>
      <c r="H700" s="102" t="b">
        <v>0</v>
      </c>
      <c r="I700" s="102" t="b">
        <v>0</v>
      </c>
      <c r="J700" s="102" t="b">
        <v>0</v>
      </c>
      <c r="K700" s="102" t="b">
        <v>0</v>
      </c>
      <c r="L700" s="102" t="b">
        <v>0</v>
      </c>
    </row>
    <row r="701" spans="1:12" ht="15">
      <c r="A701" s="97" t="s">
        <v>2789</v>
      </c>
      <c r="B701" s="102" t="s">
        <v>3067</v>
      </c>
      <c r="C701" s="102">
        <v>2</v>
      </c>
      <c r="D701" s="118">
        <v>0.00983755164370438</v>
      </c>
      <c r="E701" s="118">
        <v>1.6580113966571124</v>
      </c>
      <c r="F701" s="102" t="s">
        <v>2613</v>
      </c>
      <c r="G701" s="102" t="b">
        <v>0</v>
      </c>
      <c r="H701" s="102" t="b">
        <v>0</v>
      </c>
      <c r="I701" s="102" t="b">
        <v>0</v>
      </c>
      <c r="J701" s="102" t="b">
        <v>0</v>
      </c>
      <c r="K701" s="102" t="b">
        <v>0</v>
      </c>
      <c r="L701" s="102" t="b">
        <v>0</v>
      </c>
    </row>
    <row r="702" spans="1:12" ht="15">
      <c r="A702" s="97" t="s">
        <v>3067</v>
      </c>
      <c r="B702" s="102" t="s">
        <v>3068</v>
      </c>
      <c r="C702" s="102">
        <v>2</v>
      </c>
      <c r="D702" s="118">
        <v>0.00983755164370438</v>
      </c>
      <c r="E702" s="118">
        <v>1.6580113966571124</v>
      </c>
      <c r="F702" s="102" t="s">
        <v>2613</v>
      </c>
      <c r="G702" s="102" t="b">
        <v>0</v>
      </c>
      <c r="H702" s="102" t="b">
        <v>0</v>
      </c>
      <c r="I702" s="102" t="b">
        <v>0</v>
      </c>
      <c r="J702" s="102" t="b">
        <v>0</v>
      </c>
      <c r="K702" s="102" t="b">
        <v>0</v>
      </c>
      <c r="L702" s="102" t="b">
        <v>0</v>
      </c>
    </row>
    <row r="703" spans="1:12" ht="15">
      <c r="A703" s="97" t="s">
        <v>390</v>
      </c>
      <c r="B703" s="102" t="s">
        <v>389</v>
      </c>
      <c r="C703" s="102">
        <v>2</v>
      </c>
      <c r="D703" s="118">
        <v>0.00983755164370438</v>
      </c>
      <c r="E703" s="118">
        <v>1.4819201376014313</v>
      </c>
      <c r="F703" s="102" t="s">
        <v>2613</v>
      </c>
      <c r="G703" s="102" t="b">
        <v>0</v>
      </c>
      <c r="H703" s="102" t="b">
        <v>0</v>
      </c>
      <c r="I703" s="102" t="b">
        <v>0</v>
      </c>
      <c r="J703" s="102" t="b">
        <v>0</v>
      </c>
      <c r="K703" s="102" t="b">
        <v>0</v>
      </c>
      <c r="L703" s="102" t="b">
        <v>0</v>
      </c>
    </row>
    <row r="704" spans="1:12" ht="15">
      <c r="A704" s="97" t="s">
        <v>389</v>
      </c>
      <c r="B704" s="102" t="s">
        <v>388</v>
      </c>
      <c r="C704" s="102">
        <v>2</v>
      </c>
      <c r="D704" s="118">
        <v>0.00983755164370438</v>
      </c>
      <c r="E704" s="118">
        <v>1.260071387985075</v>
      </c>
      <c r="F704" s="102" t="s">
        <v>2613</v>
      </c>
      <c r="G704" s="102" t="b">
        <v>0</v>
      </c>
      <c r="H704" s="102" t="b">
        <v>0</v>
      </c>
      <c r="I704" s="102" t="b">
        <v>0</v>
      </c>
      <c r="J704" s="102" t="b">
        <v>0</v>
      </c>
      <c r="K704" s="102" t="b">
        <v>0</v>
      </c>
      <c r="L704" s="102" t="b">
        <v>0</v>
      </c>
    </row>
    <row r="705" spans="1:12" ht="15">
      <c r="A705" s="97" t="s">
        <v>388</v>
      </c>
      <c r="B705" s="102" t="s">
        <v>387</v>
      </c>
      <c r="C705" s="102">
        <v>2</v>
      </c>
      <c r="D705" s="118">
        <v>0.00983755164370438</v>
      </c>
      <c r="E705" s="118">
        <v>1.260071387985075</v>
      </c>
      <c r="F705" s="102" t="s">
        <v>2613</v>
      </c>
      <c r="G705" s="102" t="b">
        <v>0</v>
      </c>
      <c r="H705" s="102" t="b">
        <v>0</v>
      </c>
      <c r="I705" s="102" t="b">
        <v>0</v>
      </c>
      <c r="J705" s="102" t="b">
        <v>0</v>
      </c>
      <c r="K705" s="102" t="b">
        <v>0</v>
      </c>
      <c r="L705" s="102" t="b">
        <v>0</v>
      </c>
    </row>
    <row r="706" spans="1:12" ht="15">
      <c r="A706" s="97" t="s">
        <v>421</v>
      </c>
      <c r="B706" s="102" t="s">
        <v>422</v>
      </c>
      <c r="C706" s="102">
        <v>2</v>
      </c>
      <c r="D706" s="118">
        <v>0.008918154293825465</v>
      </c>
      <c r="E706" s="118">
        <v>1.52720011906298</v>
      </c>
      <c r="F706" s="102" t="s">
        <v>2614</v>
      </c>
      <c r="G706" s="102" t="b">
        <v>0</v>
      </c>
      <c r="H706" s="102" t="b">
        <v>0</v>
      </c>
      <c r="I706" s="102" t="b">
        <v>0</v>
      </c>
      <c r="J706" s="102" t="b">
        <v>0</v>
      </c>
      <c r="K706" s="102" t="b">
        <v>0</v>
      </c>
      <c r="L706" s="102" t="b">
        <v>0</v>
      </c>
    </row>
    <row r="707" spans="1:12" ht="15">
      <c r="A707" s="97" t="s">
        <v>420</v>
      </c>
      <c r="B707" s="102" t="s">
        <v>712</v>
      </c>
      <c r="C707" s="102">
        <v>2</v>
      </c>
      <c r="D707" s="118">
        <v>0.008918154293825465</v>
      </c>
      <c r="E707" s="118">
        <v>1.1292601103909425</v>
      </c>
      <c r="F707" s="102" t="s">
        <v>2614</v>
      </c>
      <c r="G707" s="102" t="b">
        <v>0</v>
      </c>
      <c r="H707" s="102" t="b">
        <v>0</v>
      </c>
      <c r="I707" s="102" t="b">
        <v>0</v>
      </c>
      <c r="J707" s="102" t="b">
        <v>0</v>
      </c>
      <c r="K707" s="102" t="b">
        <v>0</v>
      </c>
      <c r="L707" s="102" t="b">
        <v>0</v>
      </c>
    </row>
    <row r="708" spans="1:12" ht="15">
      <c r="A708" s="97" t="s">
        <v>399</v>
      </c>
      <c r="B708" s="102" t="s">
        <v>398</v>
      </c>
      <c r="C708" s="102">
        <v>3</v>
      </c>
      <c r="D708" s="118">
        <v>0.008300228239727694</v>
      </c>
      <c r="E708" s="118">
        <v>1.3222192947339193</v>
      </c>
      <c r="F708" s="102" t="s">
        <v>2615</v>
      </c>
      <c r="G708" s="102" t="b">
        <v>0</v>
      </c>
      <c r="H708" s="102" t="b">
        <v>0</v>
      </c>
      <c r="I708" s="102" t="b">
        <v>0</v>
      </c>
      <c r="J708" s="102" t="b">
        <v>0</v>
      </c>
      <c r="K708" s="102" t="b">
        <v>0</v>
      </c>
      <c r="L708" s="102" t="b">
        <v>0</v>
      </c>
    </row>
    <row r="709" spans="1:12" ht="15">
      <c r="A709" s="97" t="s">
        <v>398</v>
      </c>
      <c r="B709" s="102" t="s">
        <v>396</v>
      </c>
      <c r="C709" s="102">
        <v>3</v>
      </c>
      <c r="D709" s="118">
        <v>0.008300228239727694</v>
      </c>
      <c r="E709" s="118">
        <v>1.3733718171813005</v>
      </c>
      <c r="F709" s="102" t="s">
        <v>2615</v>
      </c>
      <c r="G709" s="102" t="b">
        <v>0</v>
      </c>
      <c r="H709" s="102" t="b">
        <v>0</v>
      </c>
      <c r="I709" s="102" t="b">
        <v>0</v>
      </c>
      <c r="J709" s="102" t="b">
        <v>0</v>
      </c>
      <c r="K709" s="102" t="b">
        <v>0</v>
      </c>
      <c r="L709" s="102" t="b">
        <v>0</v>
      </c>
    </row>
    <row r="710" spans="1:12" ht="15">
      <c r="A710" s="97" t="s">
        <v>396</v>
      </c>
      <c r="B710" s="102" t="s">
        <v>397</v>
      </c>
      <c r="C710" s="102">
        <v>3</v>
      </c>
      <c r="D710" s="118">
        <v>0.008300228239727694</v>
      </c>
      <c r="E710" s="118">
        <v>1.276461804173244</v>
      </c>
      <c r="F710" s="102" t="s">
        <v>2615</v>
      </c>
      <c r="G710" s="102" t="b">
        <v>0</v>
      </c>
      <c r="H710" s="102" t="b">
        <v>0</v>
      </c>
      <c r="I710" s="102" t="b">
        <v>0</v>
      </c>
      <c r="J710" s="102" t="b">
        <v>0</v>
      </c>
      <c r="K710" s="102" t="b">
        <v>0</v>
      </c>
      <c r="L710" s="102" t="b">
        <v>0</v>
      </c>
    </row>
    <row r="711" spans="1:12" ht="15">
      <c r="A711" s="97" t="s">
        <v>399</v>
      </c>
      <c r="B711" s="102" t="s">
        <v>2673</v>
      </c>
      <c r="C711" s="102">
        <v>2</v>
      </c>
      <c r="D711" s="118">
        <v>0.008181474351131965</v>
      </c>
      <c r="E711" s="118">
        <v>1.3222192947339193</v>
      </c>
      <c r="F711" s="102" t="s">
        <v>2615</v>
      </c>
      <c r="G711" s="102" t="b">
        <v>0</v>
      </c>
      <c r="H711" s="102" t="b">
        <v>0</v>
      </c>
      <c r="I711" s="102" t="b">
        <v>0</v>
      </c>
      <c r="J711" s="102" t="b">
        <v>0</v>
      </c>
      <c r="K711" s="102" t="b">
        <v>0</v>
      </c>
      <c r="L711" s="102" t="b">
        <v>0</v>
      </c>
    </row>
    <row r="712" spans="1:12" ht="15">
      <c r="A712" s="97" t="s">
        <v>2673</v>
      </c>
      <c r="B712" s="102" t="s">
        <v>2949</v>
      </c>
      <c r="C712" s="102">
        <v>2</v>
      </c>
      <c r="D712" s="118">
        <v>0.008181474351131965</v>
      </c>
      <c r="E712" s="118">
        <v>1.7993405494535817</v>
      </c>
      <c r="F712" s="102" t="s">
        <v>2615</v>
      </c>
      <c r="G712" s="102" t="b">
        <v>0</v>
      </c>
      <c r="H712" s="102" t="b">
        <v>0</v>
      </c>
      <c r="I712" s="102" t="b">
        <v>0</v>
      </c>
      <c r="J712" s="102" t="b">
        <v>0</v>
      </c>
      <c r="K712" s="102" t="b">
        <v>0</v>
      </c>
      <c r="L712" s="102" t="b">
        <v>0</v>
      </c>
    </row>
    <row r="713" spans="1:12" ht="15">
      <c r="A713" s="97" t="s">
        <v>248</v>
      </c>
      <c r="B713" s="102" t="s">
        <v>399</v>
      </c>
      <c r="C713" s="102">
        <v>2</v>
      </c>
      <c r="D713" s="118">
        <v>0.008181474351131965</v>
      </c>
      <c r="E713" s="118">
        <v>1.6232492903979006</v>
      </c>
      <c r="F713" s="102" t="s">
        <v>2615</v>
      </c>
      <c r="G713" s="102" t="b">
        <v>0</v>
      </c>
      <c r="H713" s="102" t="b">
        <v>0</v>
      </c>
      <c r="I713" s="102" t="b">
        <v>0</v>
      </c>
      <c r="J713" s="102" t="b">
        <v>0</v>
      </c>
      <c r="K713" s="102" t="b">
        <v>0</v>
      </c>
      <c r="L713" s="102" t="b">
        <v>0</v>
      </c>
    </row>
    <row r="714" spans="1:12" ht="15">
      <c r="A714" s="97" t="s">
        <v>397</v>
      </c>
      <c r="B714" s="102" t="s">
        <v>271</v>
      </c>
      <c r="C714" s="102">
        <v>2</v>
      </c>
      <c r="D714" s="118">
        <v>0.008181474351131965</v>
      </c>
      <c r="E714" s="118">
        <v>1.100370545117563</v>
      </c>
      <c r="F714" s="102" t="s">
        <v>2615</v>
      </c>
      <c r="G714" s="102" t="b">
        <v>0</v>
      </c>
      <c r="H714" s="102" t="b">
        <v>0</v>
      </c>
      <c r="I714" s="102" t="b">
        <v>0</v>
      </c>
      <c r="J714" s="102" t="b">
        <v>0</v>
      </c>
      <c r="K714" s="102" t="b">
        <v>0</v>
      </c>
      <c r="L714" s="102" t="b">
        <v>0</v>
      </c>
    </row>
    <row r="715" spans="1:12" ht="15">
      <c r="A715" s="97" t="s">
        <v>2913</v>
      </c>
      <c r="B715" s="102" t="s">
        <v>2914</v>
      </c>
      <c r="C715" s="102">
        <v>3</v>
      </c>
      <c r="D715" s="118">
        <v>0.007224719895935549</v>
      </c>
      <c r="E715" s="118">
        <v>1.5984257066728682</v>
      </c>
      <c r="F715" s="102" t="s">
        <v>2616</v>
      </c>
      <c r="G715" s="102" t="b">
        <v>0</v>
      </c>
      <c r="H715" s="102" t="b">
        <v>0</v>
      </c>
      <c r="I715" s="102" t="b">
        <v>0</v>
      </c>
      <c r="J715" s="102" t="b">
        <v>0</v>
      </c>
      <c r="K715" s="102" t="b">
        <v>0</v>
      </c>
      <c r="L715" s="102" t="b">
        <v>0</v>
      </c>
    </row>
    <row r="716" spans="1:12" ht="15">
      <c r="A716" s="97" t="s">
        <v>2914</v>
      </c>
      <c r="B716" s="102" t="s">
        <v>2808</v>
      </c>
      <c r="C716" s="102">
        <v>3</v>
      </c>
      <c r="D716" s="118">
        <v>0.007224719895935549</v>
      </c>
      <c r="E716" s="118">
        <v>1.5984257066728682</v>
      </c>
      <c r="F716" s="102" t="s">
        <v>2616</v>
      </c>
      <c r="G716" s="102" t="b">
        <v>0</v>
      </c>
      <c r="H716" s="102" t="b">
        <v>0</v>
      </c>
      <c r="I716" s="102" t="b">
        <v>0</v>
      </c>
      <c r="J716" s="102" t="b">
        <v>0</v>
      </c>
      <c r="K716" s="102" t="b">
        <v>0</v>
      </c>
      <c r="L716" s="102" t="b">
        <v>0</v>
      </c>
    </row>
    <row r="717" spans="1:12" ht="15">
      <c r="A717" s="97" t="s">
        <v>2808</v>
      </c>
      <c r="B717" s="102" t="s">
        <v>2915</v>
      </c>
      <c r="C717" s="102">
        <v>3</v>
      </c>
      <c r="D717" s="118">
        <v>0.007224719895935549</v>
      </c>
      <c r="E717" s="118">
        <v>1.5984257066728682</v>
      </c>
      <c r="F717" s="102" t="s">
        <v>2616</v>
      </c>
      <c r="G717" s="102" t="b">
        <v>0</v>
      </c>
      <c r="H717" s="102" t="b">
        <v>0</v>
      </c>
      <c r="I717" s="102" t="b">
        <v>0</v>
      </c>
      <c r="J717" s="102" t="b">
        <v>0</v>
      </c>
      <c r="K717" s="102" t="b">
        <v>0</v>
      </c>
      <c r="L717" s="102" t="b">
        <v>0</v>
      </c>
    </row>
    <row r="718" spans="1:12" ht="15">
      <c r="A718" s="97" t="s">
        <v>2915</v>
      </c>
      <c r="B718" s="102" t="s">
        <v>2916</v>
      </c>
      <c r="C718" s="102">
        <v>3</v>
      </c>
      <c r="D718" s="118">
        <v>0.007224719895935549</v>
      </c>
      <c r="E718" s="118">
        <v>1.5984257066728682</v>
      </c>
      <c r="F718" s="102" t="s">
        <v>2616</v>
      </c>
      <c r="G718" s="102" t="b">
        <v>0</v>
      </c>
      <c r="H718" s="102" t="b">
        <v>0</v>
      </c>
      <c r="I718" s="102" t="b">
        <v>0</v>
      </c>
      <c r="J718" s="102" t="b">
        <v>0</v>
      </c>
      <c r="K718" s="102" t="b">
        <v>0</v>
      </c>
      <c r="L718" s="102" t="b">
        <v>0</v>
      </c>
    </row>
    <row r="719" spans="1:12" ht="15">
      <c r="A719" s="97" t="s">
        <v>2916</v>
      </c>
      <c r="B719" s="102" t="s">
        <v>2740</v>
      </c>
      <c r="C719" s="102">
        <v>3</v>
      </c>
      <c r="D719" s="118">
        <v>0.007224719895935549</v>
      </c>
      <c r="E719" s="118">
        <v>1.5984257066728682</v>
      </c>
      <c r="F719" s="102" t="s">
        <v>2616</v>
      </c>
      <c r="G719" s="102" t="b">
        <v>0</v>
      </c>
      <c r="H719" s="102" t="b">
        <v>0</v>
      </c>
      <c r="I719" s="102" t="b">
        <v>0</v>
      </c>
      <c r="J719" s="102" t="b">
        <v>0</v>
      </c>
      <c r="K719" s="102" t="b">
        <v>0</v>
      </c>
      <c r="L719" s="102" t="b">
        <v>0</v>
      </c>
    </row>
    <row r="720" spans="1:12" ht="15">
      <c r="A720" s="97" t="s">
        <v>2740</v>
      </c>
      <c r="B720" s="102" t="s">
        <v>712</v>
      </c>
      <c r="C720" s="102">
        <v>3</v>
      </c>
      <c r="D720" s="118">
        <v>0.007224719895935549</v>
      </c>
      <c r="E720" s="118">
        <v>1.2973957110088872</v>
      </c>
      <c r="F720" s="102" t="s">
        <v>2616</v>
      </c>
      <c r="G720" s="102" t="b">
        <v>0</v>
      </c>
      <c r="H720" s="102" t="b">
        <v>0</v>
      </c>
      <c r="I720" s="102" t="b">
        <v>0</v>
      </c>
      <c r="J720" s="102" t="b">
        <v>0</v>
      </c>
      <c r="K720" s="102" t="b">
        <v>0</v>
      </c>
      <c r="L720" s="102" t="b">
        <v>0</v>
      </c>
    </row>
    <row r="721" spans="1:12" ht="15">
      <c r="A721" s="97" t="s">
        <v>712</v>
      </c>
      <c r="B721" s="102" t="s">
        <v>2917</v>
      </c>
      <c r="C721" s="102">
        <v>3</v>
      </c>
      <c r="D721" s="118">
        <v>0.007224719895935549</v>
      </c>
      <c r="E721" s="118">
        <v>1.2973957110088872</v>
      </c>
      <c r="F721" s="102" t="s">
        <v>2616</v>
      </c>
      <c r="G721" s="102" t="b">
        <v>0</v>
      </c>
      <c r="H721" s="102" t="b">
        <v>0</v>
      </c>
      <c r="I721" s="102" t="b">
        <v>0</v>
      </c>
      <c r="J721" s="102" t="b">
        <v>0</v>
      </c>
      <c r="K721" s="102" t="b">
        <v>0</v>
      </c>
      <c r="L721" s="102" t="b">
        <v>0</v>
      </c>
    </row>
    <row r="722" spans="1:12" ht="15">
      <c r="A722" s="97" t="s">
        <v>2917</v>
      </c>
      <c r="B722" s="102" t="s">
        <v>2918</v>
      </c>
      <c r="C722" s="102">
        <v>3</v>
      </c>
      <c r="D722" s="118">
        <v>0.007224719895935549</v>
      </c>
      <c r="E722" s="118">
        <v>1.5984257066728682</v>
      </c>
      <c r="F722" s="102" t="s">
        <v>2616</v>
      </c>
      <c r="G722" s="102" t="b">
        <v>0</v>
      </c>
      <c r="H722" s="102" t="b">
        <v>0</v>
      </c>
      <c r="I722" s="102" t="b">
        <v>0</v>
      </c>
      <c r="J722" s="102" t="b">
        <v>0</v>
      </c>
      <c r="K722" s="102" t="b">
        <v>0</v>
      </c>
      <c r="L722" s="102" t="b">
        <v>0</v>
      </c>
    </row>
    <row r="723" spans="1:12" ht="15">
      <c r="A723" s="97" t="s">
        <v>2918</v>
      </c>
      <c r="B723" s="102" t="s">
        <v>2919</v>
      </c>
      <c r="C723" s="102">
        <v>3</v>
      </c>
      <c r="D723" s="118">
        <v>0.007224719895935549</v>
      </c>
      <c r="E723" s="118">
        <v>1.5984257066728682</v>
      </c>
      <c r="F723" s="102" t="s">
        <v>2616</v>
      </c>
      <c r="G723" s="102" t="b">
        <v>0</v>
      </c>
      <c r="H723" s="102" t="b">
        <v>0</v>
      </c>
      <c r="I723" s="102" t="b">
        <v>0</v>
      </c>
      <c r="J723" s="102" t="b">
        <v>0</v>
      </c>
      <c r="K723" s="102" t="b">
        <v>0</v>
      </c>
      <c r="L723" s="102" t="b">
        <v>0</v>
      </c>
    </row>
    <row r="724" spans="1:12" ht="15">
      <c r="A724" s="97" t="s">
        <v>2919</v>
      </c>
      <c r="B724" s="102" t="s">
        <v>2920</v>
      </c>
      <c r="C724" s="102">
        <v>3</v>
      </c>
      <c r="D724" s="118">
        <v>0.007224719895935549</v>
      </c>
      <c r="E724" s="118">
        <v>1.5984257066728682</v>
      </c>
      <c r="F724" s="102" t="s">
        <v>2616</v>
      </c>
      <c r="G724" s="102" t="b">
        <v>0</v>
      </c>
      <c r="H724" s="102" t="b">
        <v>0</v>
      </c>
      <c r="I724" s="102" t="b">
        <v>0</v>
      </c>
      <c r="J724" s="102" t="b">
        <v>0</v>
      </c>
      <c r="K724" s="102" t="b">
        <v>0</v>
      </c>
      <c r="L724" s="102" t="b">
        <v>0</v>
      </c>
    </row>
    <row r="725" spans="1:12" ht="15">
      <c r="A725" s="97" t="s">
        <v>2920</v>
      </c>
      <c r="B725" s="102" t="s">
        <v>2921</v>
      </c>
      <c r="C725" s="102">
        <v>3</v>
      </c>
      <c r="D725" s="118">
        <v>0.007224719895935549</v>
      </c>
      <c r="E725" s="118">
        <v>1.5984257066728682</v>
      </c>
      <c r="F725" s="102" t="s">
        <v>2616</v>
      </c>
      <c r="G725" s="102" t="b">
        <v>0</v>
      </c>
      <c r="H725" s="102" t="b">
        <v>0</v>
      </c>
      <c r="I725" s="102" t="b">
        <v>0</v>
      </c>
      <c r="J725" s="102" t="b">
        <v>0</v>
      </c>
      <c r="K725" s="102" t="b">
        <v>0</v>
      </c>
      <c r="L725" s="102" t="b">
        <v>0</v>
      </c>
    </row>
    <row r="726" spans="1:12" ht="15">
      <c r="A726" s="97" t="s">
        <v>2921</v>
      </c>
      <c r="B726" s="102" t="s">
        <v>2922</v>
      </c>
      <c r="C726" s="102">
        <v>3</v>
      </c>
      <c r="D726" s="118">
        <v>0.007224719895935549</v>
      </c>
      <c r="E726" s="118">
        <v>1.5984257066728682</v>
      </c>
      <c r="F726" s="102" t="s">
        <v>2616</v>
      </c>
      <c r="G726" s="102" t="b">
        <v>0</v>
      </c>
      <c r="H726" s="102" t="b">
        <v>0</v>
      </c>
      <c r="I726" s="102" t="b">
        <v>0</v>
      </c>
      <c r="J726" s="102" t="b">
        <v>0</v>
      </c>
      <c r="K726" s="102" t="b">
        <v>0</v>
      </c>
      <c r="L726" s="102" t="b">
        <v>0</v>
      </c>
    </row>
    <row r="727" spans="1:12" ht="15">
      <c r="A727" s="97" t="s">
        <v>2922</v>
      </c>
      <c r="B727" s="102" t="s">
        <v>2923</v>
      </c>
      <c r="C727" s="102">
        <v>3</v>
      </c>
      <c r="D727" s="118">
        <v>0.007224719895935549</v>
      </c>
      <c r="E727" s="118">
        <v>1.5984257066728682</v>
      </c>
      <c r="F727" s="102" t="s">
        <v>2616</v>
      </c>
      <c r="G727" s="102" t="b">
        <v>0</v>
      </c>
      <c r="H727" s="102" t="b">
        <v>0</v>
      </c>
      <c r="I727" s="102" t="b">
        <v>0</v>
      </c>
      <c r="J727" s="102" t="b">
        <v>0</v>
      </c>
      <c r="K727" s="102" t="b">
        <v>0</v>
      </c>
      <c r="L727" s="102" t="b">
        <v>0</v>
      </c>
    </row>
    <row r="728" spans="1:12" ht="15">
      <c r="A728" s="97" t="s">
        <v>2923</v>
      </c>
      <c r="B728" s="102" t="s">
        <v>2924</v>
      </c>
      <c r="C728" s="102">
        <v>3</v>
      </c>
      <c r="D728" s="118">
        <v>0.007224719895935549</v>
      </c>
      <c r="E728" s="118">
        <v>1.5984257066728682</v>
      </c>
      <c r="F728" s="102" t="s">
        <v>2616</v>
      </c>
      <c r="G728" s="102" t="b">
        <v>0</v>
      </c>
      <c r="H728" s="102" t="b">
        <v>0</v>
      </c>
      <c r="I728" s="102" t="b">
        <v>0</v>
      </c>
      <c r="J728" s="102" t="b">
        <v>0</v>
      </c>
      <c r="K728" s="102" t="b">
        <v>0</v>
      </c>
      <c r="L728" s="102" t="b">
        <v>0</v>
      </c>
    </row>
    <row r="729" spans="1:12" ht="15">
      <c r="A729" s="97" t="s">
        <v>2924</v>
      </c>
      <c r="B729" s="102" t="s">
        <v>2925</v>
      </c>
      <c r="C729" s="102">
        <v>3</v>
      </c>
      <c r="D729" s="118">
        <v>0.007224719895935549</v>
      </c>
      <c r="E729" s="118">
        <v>1.5984257066728682</v>
      </c>
      <c r="F729" s="102" t="s">
        <v>2616</v>
      </c>
      <c r="G729" s="102" t="b">
        <v>0</v>
      </c>
      <c r="H729" s="102" t="b">
        <v>0</v>
      </c>
      <c r="I729" s="102" t="b">
        <v>0</v>
      </c>
      <c r="J729" s="102" t="b">
        <v>0</v>
      </c>
      <c r="K729" s="102" t="b">
        <v>0</v>
      </c>
      <c r="L729" s="102" t="b">
        <v>0</v>
      </c>
    </row>
    <row r="730" spans="1:12" ht="15">
      <c r="A730" s="97" t="s">
        <v>2925</v>
      </c>
      <c r="B730" s="102" t="s">
        <v>2926</v>
      </c>
      <c r="C730" s="102">
        <v>3</v>
      </c>
      <c r="D730" s="118">
        <v>0.007224719895935549</v>
      </c>
      <c r="E730" s="118">
        <v>1.5984257066728682</v>
      </c>
      <c r="F730" s="102" t="s">
        <v>2616</v>
      </c>
      <c r="G730" s="102" t="b">
        <v>0</v>
      </c>
      <c r="H730" s="102" t="b">
        <v>0</v>
      </c>
      <c r="I730" s="102" t="b">
        <v>0</v>
      </c>
      <c r="J730" s="102" t="b">
        <v>0</v>
      </c>
      <c r="K730" s="102" t="b">
        <v>0</v>
      </c>
      <c r="L730" s="102" t="b">
        <v>0</v>
      </c>
    </row>
    <row r="731" spans="1:12" ht="15">
      <c r="A731" s="97" t="s">
        <v>2926</v>
      </c>
      <c r="B731" s="102" t="s">
        <v>386</v>
      </c>
      <c r="C731" s="102">
        <v>3</v>
      </c>
      <c r="D731" s="118">
        <v>0.007224719895935549</v>
      </c>
      <c r="E731" s="118">
        <v>1.5984257066728682</v>
      </c>
      <c r="F731" s="102" t="s">
        <v>2616</v>
      </c>
      <c r="G731" s="102" t="b">
        <v>0</v>
      </c>
      <c r="H731" s="102" t="b">
        <v>0</v>
      </c>
      <c r="I731" s="102" t="b">
        <v>0</v>
      </c>
      <c r="J731" s="102" t="b">
        <v>0</v>
      </c>
      <c r="K731" s="102" t="b">
        <v>0</v>
      </c>
      <c r="L731" s="102" t="b">
        <v>0</v>
      </c>
    </row>
    <row r="732" spans="1:12" ht="15">
      <c r="A732" s="97" t="s">
        <v>386</v>
      </c>
      <c r="B732" s="102" t="s">
        <v>2927</v>
      </c>
      <c r="C732" s="102">
        <v>3</v>
      </c>
      <c r="D732" s="118">
        <v>0.007224719895935549</v>
      </c>
      <c r="E732" s="118">
        <v>1.5984257066728682</v>
      </c>
      <c r="F732" s="102" t="s">
        <v>2616</v>
      </c>
      <c r="G732" s="102" t="b">
        <v>0</v>
      </c>
      <c r="H732" s="102" t="b">
        <v>0</v>
      </c>
      <c r="I732" s="102" t="b">
        <v>0</v>
      </c>
      <c r="J732" s="102" t="b">
        <v>0</v>
      </c>
      <c r="K732" s="102" t="b">
        <v>0</v>
      </c>
      <c r="L732" s="102" t="b">
        <v>0</v>
      </c>
    </row>
    <row r="733" spans="1:12" ht="15">
      <c r="A733" s="97" t="s">
        <v>2927</v>
      </c>
      <c r="B733" s="102" t="s">
        <v>2928</v>
      </c>
      <c r="C733" s="102">
        <v>3</v>
      </c>
      <c r="D733" s="118">
        <v>0.007224719895935549</v>
      </c>
      <c r="E733" s="118">
        <v>1.5984257066728682</v>
      </c>
      <c r="F733" s="102" t="s">
        <v>2616</v>
      </c>
      <c r="G733" s="102" t="b">
        <v>0</v>
      </c>
      <c r="H733" s="102" t="b">
        <v>0</v>
      </c>
      <c r="I733" s="102" t="b">
        <v>0</v>
      </c>
      <c r="J733" s="102" t="b">
        <v>0</v>
      </c>
      <c r="K733" s="102" t="b">
        <v>0</v>
      </c>
      <c r="L733" s="102" t="b">
        <v>0</v>
      </c>
    </row>
    <row r="734" spans="1:12" ht="15">
      <c r="A734" s="97" t="s">
        <v>2928</v>
      </c>
      <c r="B734" s="102" t="s">
        <v>2929</v>
      </c>
      <c r="C734" s="102">
        <v>3</v>
      </c>
      <c r="D734" s="118">
        <v>0.007224719895935549</v>
      </c>
      <c r="E734" s="118">
        <v>1.5984257066728682</v>
      </c>
      <c r="F734" s="102" t="s">
        <v>2616</v>
      </c>
      <c r="G734" s="102" t="b">
        <v>0</v>
      </c>
      <c r="H734" s="102" t="b">
        <v>0</v>
      </c>
      <c r="I734" s="102" t="b">
        <v>0</v>
      </c>
      <c r="J734" s="102" t="b">
        <v>0</v>
      </c>
      <c r="K734" s="102" t="b">
        <v>0</v>
      </c>
      <c r="L734" s="102" t="b">
        <v>0</v>
      </c>
    </row>
    <row r="735" spans="1:12" ht="15">
      <c r="A735" s="97" t="s">
        <v>2929</v>
      </c>
      <c r="B735" s="102" t="s">
        <v>2930</v>
      </c>
      <c r="C735" s="102">
        <v>3</v>
      </c>
      <c r="D735" s="118">
        <v>0.007224719895935549</v>
      </c>
      <c r="E735" s="118">
        <v>1.5984257066728682</v>
      </c>
      <c r="F735" s="102" t="s">
        <v>2616</v>
      </c>
      <c r="G735" s="102" t="b">
        <v>0</v>
      </c>
      <c r="H735" s="102" t="b">
        <v>0</v>
      </c>
      <c r="I735" s="102" t="b">
        <v>0</v>
      </c>
      <c r="J735" s="102" t="b">
        <v>0</v>
      </c>
      <c r="K735" s="102" t="b">
        <v>0</v>
      </c>
      <c r="L735" s="102" t="b">
        <v>0</v>
      </c>
    </row>
    <row r="736" spans="1:12" ht="15">
      <c r="A736" s="97" t="s">
        <v>2844</v>
      </c>
      <c r="B736" s="102" t="s">
        <v>3058</v>
      </c>
      <c r="C736" s="102">
        <v>2</v>
      </c>
      <c r="D736" s="118">
        <v>0.024082399653118498</v>
      </c>
      <c r="E736" s="118">
        <v>1.3617278360175928</v>
      </c>
      <c r="F736" s="102" t="s">
        <v>2618</v>
      </c>
      <c r="G736" s="102" t="b">
        <v>0</v>
      </c>
      <c r="H736" s="102" t="b">
        <v>0</v>
      </c>
      <c r="I736" s="102" t="b">
        <v>0</v>
      </c>
      <c r="J736" s="102" t="b">
        <v>0</v>
      </c>
      <c r="K736" s="102" t="b">
        <v>0</v>
      </c>
      <c r="L736" s="102" t="b">
        <v>0</v>
      </c>
    </row>
    <row r="737" spans="1:12" ht="15">
      <c r="A737" s="97" t="s">
        <v>3070</v>
      </c>
      <c r="B737" s="102" t="s">
        <v>3071</v>
      </c>
      <c r="C737" s="102">
        <v>2</v>
      </c>
      <c r="D737" s="118">
        <v>0.007656141698073097</v>
      </c>
      <c r="E737" s="118">
        <v>1.3324384599156054</v>
      </c>
      <c r="F737" s="102" t="s">
        <v>2620</v>
      </c>
      <c r="G737" s="102" t="b">
        <v>0</v>
      </c>
      <c r="H737" s="102" t="b">
        <v>0</v>
      </c>
      <c r="I737" s="102" t="b">
        <v>0</v>
      </c>
      <c r="J737" s="102" t="b">
        <v>0</v>
      </c>
      <c r="K737" s="102" t="b">
        <v>0</v>
      </c>
      <c r="L737" s="102" t="b">
        <v>0</v>
      </c>
    </row>
    <row r="738" spans="1:12" ht="15">
      <c r="A738" s="97" t="s">
        <v>3071</v>
      </c>
      <c r="B738" s="102" t="s">
        <v>2660</v>
      </c>
      <c r="C738" s="102">
        <v>2</v>
      </c>
      <c r="D738" s="118">
        <v>0.007656141698073097</v>
      </c>
      <c r="E738" s="118">
        <v>1.3324384599156054</v>
      </c>
      <c r="F738" s="102" t="s">
        <v>2620</v>
      </c>
      <c r="G738" s="102" t="b">
        <v>0</v>
      </c>
      <c r="H738" s="102" t="b">
        <v>0</v>
      </c>
      <c r="I738" s="102" t="b">
        <v>0</v>
      </c>
      <c r="J738" s="102" t="b">
        <v>0</v>
      </c>
      <c r="K738" s="102" t="b">
        <v>0</v>
      </c>
      <c r="L738" s="102" t="b">
        <v>0</v>
      </c>
    </row>
    <row r="739" spans="1:12" ht="15">
      <c r="A739" s="97" t="s">
        <v>2660</v>
      </c>
      <c r="B739" s="102" t="s">
        <v>2891</v>
      </c>
      <c r="C739" s="102">
        <v>2</v>
      </c>
      <c r="D739" s="118">
        <v>0.007656141698073097</v>
      </c>
      <c r="E739" s="118">
        <v>1.3324384599156054</v>
      </c>
      <c r="F739" s="102" t="s">
        <v>2620</v>
      </c>
      <c r="G739" s="102" t="b">
        <v>0</v>
      </c>
      <c r="H739" s="102" t="b">
        <v>0</v>
      </c>
      <c r="I739" s="102" t="b">
        <v>0</v>
      </c>
      <c r="J739" s="102" t="b">
        <v>0</v>
      </c>
      <c r="K739" s="102" t="b">
        <v>0</v>
      </c>
      <c r="L739" s="102" t="b">
        <v>0</v>
      </c>
    </row>
    <row r="740" spans="1:12" ht="15">
      <c r="A740" s="97" t="s">
        <v>2891</v>
      </c>
      <c r="B740" s="102" t="s">
        <v>712</v>
      </c>
      <c r="C740" s="102">
        <v>2</v>
      </c>
      <c r="D740" s="118">
        <v>0.007656141698073097</v>
      </c>
      <c r="E740" s="118">
        <v>1.156347200859924</v>
      </c>
      <c r="F740" s="102" t="s">
        <v>2620</v>
      </c>
      <c r="G740" s="102" t="b">
        <v>0</v>
      </c>
      <c r="H740" s="102" t="b">
        <v>0</v>
      </c>
      <c r="I740" s="102" t="b">
        <v>0</v>
      </c>
      <c r="J740" s="102" t="b">
        <v>0</v>
      </c>
      <c r="K740" s="102" t="b">
        <v>0</v>
      </c>
      <c r="L740" s="102" t="b">
        <v>0</v>
      </c>
    </row>
    <row r="741" spans="1:12" ht="15">
      <c r="A741" s="97" t="s">
        <v>712</v>
      </c>
      <c r="B741" s="102" t="s">
        <v>3072</v>
      </c>
      <c r="C741" s="102">
        <v>2</v>
      </c>
      <c r="D741" s="118">
        <v>0.007656141698073097</v>
      </c>
      <c r="E741" s="118">
        <v>1.156347200859924</v>
      </c>
      <c r="F741" s="102" t="s">
        <v>2620</v>
      </c>
      <c r="G741" s="102" t="b">
        <v>0</v>
      </c>
      <c r="H741" s="102" t="b">
        <v>0</v>
      </c>
      <c r="I741" s="102" t="b">
        <v>0</v>
      </c>
      <c r="J741" s="102" t="b">
        <v>0</v>
      </c>
      <c r="K741" s="102" t="b">
        <v>0</v>
      </c>
      <c r="L741" s="102" t="b">
        <v>0</v>
      </c>
    </row>
    <row r="742" spans="1:12" ht="15">
      <c r="A742" s="97" t="s">
        <v>3072</v>
      </c>
      <c r="B742" s="102" t="s">
        <v>3073</v>
      </c>
      <c r="C742" s="102">
        <v>2</v>
      </c>
      <c r="D742" s="118">
        <v>0.007656141698073097</v>
      </c>
      <c r="E742" s="118">
        <v>1.3324384599156054</v>
      </c>
      <c r="F742" s="102" t="s">
        <v>2620</v>
      </c>
      <c r="G742" s="102" t="b">
        <v>0</v>
      </c>
      <c r="H742" s="102" t="b">
        <v>0</v>
      </c>
      <c r="I742" s="102" t="b">
        <v>0</v>
      </c>
      <c r="J742" s="102" t="b">
        <v>0</v>
      </c>
      <c r="K742" s="102" t="b">
        <v>0</v>
      </c>
      <c r="L742" s="102" t="b">
        <v>0</v>
      </c>
    </row>
    <row r="743" spans="1:12" ht="15">
      <c r="A743" s="97" t="s">
        <v>3073</v>
      </c>
      <c r="B743" s="102" t="s">
        <v>2733</v>
      </c>
      <c r="C743" s="102">
        <v>2</v>
      </c>
      <c r="D743" s="118">
        <v>0.007656141698073097</v>
      </c>
      <c r="E743" s="118">
        <v>1.3324384599156054</v>
      </c>
      <c r="F743" s="102" t="s">
        <v>2620</v>
      </c>
      <c r="G743" s="102" t="b">
        <v>0</v>
      </c>
      <c r="H743" s="102" t="b">
        <v>0</v>
      </c>
      <c r="I743" s="102" t="b">
        <v>0</v>
      </c>
      <c r="J743" s="102" t="b">
        <v>0</v>
      </c>
      <c r="K743" s="102" t="b">
        <v>0</v>
      </c>
      <c r="L743" s="102" t="b">
        <v>0</v>
      </c>
    </row>
    <row r="744" spans="1:12" ht="15">
      <c r="A744" s="97" t="s">
        <v>2733</v>
      </c>
      <c r="B744" s="102" t="s">
        <v>2911</v>
      </c>
      <c r="C744" s="102">
        <v>2</v>
      </c>
      <c r="D744" s="118">
        <v>0.007656141698073097</v>
      </c>
      <c r="E744" s="118">
        <v>1.3324384599156054</v>
      </c>
      <c r="F744" s="102" t="s">
        <v>2620</v>
      </c>
      <c r="G744" s="102" t="b">
        <v>0</v>
      </c>
      <c r="H744" s="102" t="b">
        <v>0</v>
      </c>
      <c r="I744" s="102" t="b">
        <v>0</v>
      </c>
      <c r="J744" s="102" t="b">
        <v>0</v>
      </c>
      <c r="K744" s="102" t="b">
        <v>0</v>
      </c>
      <c r="L744" s="102" t="b">
        <v>0</v>
      </c>
    </row>
    <row r="745" spans="1:12" ht="15">
      <c r="A745" s="97" t="s">
        <v>2911</v>
      </c>
      <c r="B745" s="102" t="s">
        <v>2809</v>
      </c>
      <c r="C745" s="102">
        <v>2</v>
      </c>
      <c r="D745" s="118">
        <v>0.007656141698073097</v>
      </c>
      <c r="E745" s="118">
        <v>1.3324384599156054</v>
      </c>
      <c r="F745" s="102" t="s">
        <v>2620</v>
      </c>
      <c r="G745" s="102" t="b">
        <v>0</v>
      </c>
      <c r="H745" s="102" t="b">
        <v>0</v>
      </c>
      <c r="I745" s="102" t="b">
        <v>0</v>
      </c>
      <c r="J745" s="102" t="b">
        <v>0</v>
      </c>
      <c r="K745" s="102" t="b">
        <v>0</v>
      </c>
      <c r="L745" s="102" t="b">
        <v>0</v>
      </c>
    </row>
    <row r="746" spans="1:12" ht="15">
      <c r="A746" s="97" t="s">
        <v>2809</v>
      </c>
      <c r="B746" s="102" t="s">
        <v>3074</v>
      </c>
      <c r="C746" s="102">
        <v>2</v>
      </c>
      <c r="D746" s="118">
        <v>0.007656141698073097</v>
      </c>
      <c r="E746" s="118">
        <v>1.3324384599156054</v>
      </c>
      <c r="F746" s="102" t="s">
        <v>2620</v>
      </c>
      <c r="G746" s="102" t="b">
        <v>0</v>
      </c>
      <c r="H746" s="102" t="b">
        <v>0</v>
      </c>
      <c r="I746" s="102" t="b">
        <v>0</v>
      </c>
      <c r="J746" s="102" t="b">
        <v>0</v>
      </c>
      <c r="K746" s="102" t="b">
        <v>0</v>
      </c>
      <c r="L746" s="102" t="b">
        <v>0</v>
      </c>
    </row>
    <row r="747" spans="1:12" ht="15">
      <c r="A747" s="97" t="s">
        <v>3074</v>
      </c>
      <c r="B747" s="102" t="s">
        <v>3075</v>
      </c>
      <c r="C747" s="102">
        <v>2</v>
      </c>
      <c r="D747" s="118">
        <v>0.007656141698073097</v>
      </c>
      <c r="E747" s="118">
        <v>1.3324384599156054</v>
      </c>
      <c r="F747" s="102" t="s">
        <v>2620</v>
      </c>
      <c r="G747" s="102" t="b">
        <v>0</v>
      </c>
      <c r="H747" s="102" t="b">
        <v>0</v>
      </c>
      <c r="I747" s="102" t="b">
        <v>0</v>
      </c>
      <c r="J747" s="102" t="b">
        <v>0</v>
      </c>
      <c r="K747" s="102" t="b">
        <v>0</v>
      </c>
      <c r="L747" s="102" t="b">
        <v>0</v>
      </c>
    </row>
    <row r="748" spans="1:12" ht="15">
      <c r="A748" s="97" t="s">
        <v>3075</v>
      </c>
      <c r="B748" s="102" t="s">
        <v>3076</v>
      </c>
      <c r="C748" s="102">
        <v>2</v>
      </c>
      <c r="D748" s="118">
        <v>0.007656141698073097</v>
      </c>
      <c r="E748" s="118">
        <v>1.3324384599156054</v>
      </c>
      <c r="F748" s="102" t="s">
        <v>2620</v>
      </c>
      <c r="G748" s="102" t="b">
        <v>0</v>
      </c>
      <c r="H748" s="102" t="b">
        <v>0</v>
      </c>
      <c r="I748" s="102" t="b">
        <v>0</v>
      </c>
      <c r="J748" s="102" t="b">
        <v>0</v>
      </c>
      <c r="K748" s="102" t="b">
        <v>0</v>
      </c>
      <c r="L748" s="102" t="b">
        <v>0</v>
      </c>
    </row>
    <row r="749" spans="1:12" ht="15">
      <c r="A749" s="97" t="s">
        <v>3076</v>
      </c>
      <c r="B749" s="102" t="s">
        <v>2837</v>
      </c>
      <c r="C749" s="102">
        <v>2</v>
      </c>
      <c r="D749" s="118">
        <v>0.007656141698073097</v>
      </c>
      <c r="E749" s="118">
        <v>1.3324384599156054</v>
      </c>
      <c r="F749" s="102" t="s">
        <v>2620</v>
      </c>
      <c r="G749" s="102" t="b">
        <v>0</v>
      </c>
      <c r="H749" s="102" t="b">
        <v>0</v>
      </c>
      <c r="I749" s="102" t="b">
        <v>0</v>
      </c>
      <c r="J749" s="102" t="b">
        <v>0</v>
      </c>
      <c r="K749" s="102" t="b">
        <v>0</v>
      </c>
      <c r="L749" s="102" t="b">
        <v>0</v>
      </c>
    </row>
    <row r="750" spans="1:12" ht="15">
      <c r="A750" s="97" t="s">
        <v>2837</v>
      </c>
      <c r="B750" s="102" t="s">
        <v>2740</v>
      </c>
      <c r="C750" s="102">
        <v>2</v>
      </c>
      <c r="D750" s="118">
        <v>0.007656141698073097</v>
      </c>
      <c r="E750" s="118">
        <v>1.3324384599156054</v>
      </c>
      <c r="F750" s="102" t="s">
        <v>2620</v>
      </c>
      <c r="G750" s="102" t="b">
        <v>0</v>
      </c>
      <c r="H750" s="102" t="b">
        <v>0</v>
      </c>
      <c r="I750" s="102" t="b">
        <v>0</v>
      </c>
      <c r="J750" s="102" t="b">
        <v>0</v>
      </c>
      <c r="K750" s="102" t="b">
        <v>0</v>
      </c>
      <c r="L750" s="102" t="b">
        <v>0</v>
      </c>
    </row>
    <row r="751" spans="1:12" ht="15">
      <c r="A751" s="97" t="s">
        <v>2740</v>
      </c>
      <c r="B751" s="102" t="s">
        <v>3077</v>
      </c>
      <c r="C751" s="102">
        <v>2</v>
      </c>
      <c r="D751" s="118">
        <v>0.007656141698073097</v>
      </c>
      <c r="E751" s="118">
        <v>1.3324384599156054</v>
      </c>
      <c r="F751" s="102" t="s">
        <v>2620</v>
      </c>
      <c r="G751" s="102" t="b">
        <v>0</v>
      </c>
      <c r="H751" s="102" t="b">
        <v>0</v>
      </c>
      <c r="I751" s="102" t="b">
        <v>0</v>
      </c>
      <c r="J751" s="102" t="b">
        <v>0</v>
      </c>
      <c r="K751" s="102" t="b">
        <v>0</v>
      </c>
      <c r="L751" s="102" t="b">
        <v>0</v>
      </c>
    </row>
    <row r="752" spans="1:12" ht="15">
      <c r="A752" s="97" t="s">
        <v>2744</v>
      </c>
      <c r="B752" s="102" t="s">
        <v>2744</v>
      </c>
      <c r="C752" s="102">
        <v>4</v>
      </c>
      <c r="D752" s="118">
        <v>0.014876262006431312</v>
      </c>
      <c r="E752" s="118">
        <v>1.2304489213782739</v>
      </c>
      <c r="F752" s="102" t="s">
        <v>2622</v>
      </c>
      <c r="G752" s="102" t="b">
        <v>0</v>
      </c>
      <c r="H752" s="102" t="b">
        <v>0</v>
      </c>
      <c r="I752" s="102" t="b">
        <v>0</v>
      </c>
      <c r="J752" s="102" t="b">
        <v>0</v>
      </c>
      <c r="K752" s="102" t="b">
        <v>0</v>
      </c>
      <c r="L752" s="102" t="b">
        <v>0</v>
      </c>
    </row>
    <row r="753" spans="1:12" ht="15">
      <c r="A753" s="97" t="s">
        <v>2669</v>
      </c>
      <c r="B753" s="102" t="s">
        <v>2670</v>
      </c>
      <c r="C753" s="102">
        <v>2</v>
      </c>
      <c r="D753" s="118">
        <v>0.007438131003215656</v>
      </c>
      <c r="E753" s="118">
        <v>1.7075701760979363</v>
      </c>
      <c r="F753" s="102" t="s">
        <v>2622</v>
      </c>
      <c r="G753" s="102" t="b">
        <v>0</v>
      </c>
      <c r="H753" s="102" t="b">
        <v>0</v>
      </c>
      <c r="I753" s="102" t="b">
        <v>0</v>
      </c>
      <c r="J753" s="102" t="b">
        <v>0</v>
      </c>
      <c r="K753" s="102" t="b">
        <v>0</v>
      </c>
      <c r="L753" s="102" t="b">
        <v>0</v>
      </c>
    </row>
    <row r="754" spans="1:12" ht="15">
      <c r="A754" s="97" t="s">
        <v>2670</v>
      </c>
      <c r="B754" s="102" t="s">
        <v>2671</v>
      </c>
      <c r="C754" s="102">
        <v>2</v>
      </c>
      <c r="D754" s="118">
        <v>0.007438131003215656</v>
      </c>
      <c r="E754" s="118">
        <v>1.7075701760979363</v>
      </c>
      <c r="F754" s="102" t="s">
        <v>2622</v>
      </c>
      <c r="G754" s="102" t="b">
        <v>0</v>
      </c>
      <c r="H754" s="102" t="b">
        <v>0</v>
      </c>
      <c r="I754" s="102" t="b">
        <v>0</v>
      </c>
      <c r="J754" s="102" t="b">
        <v>0</v>
      </c>
      <c r="K754" s="102" t="b">
        <v>0</v>
      </c>
      <c r="L754" s="102" t="b">
        <v>0</v>
      </c>
    </row>
    <row r="755" spans="1:12" ht="15">
      <c r="A755" s="97" t="s">
        <v>2671</v>
      </c>
      <c r="B755" s="102" t="s">
        <v>2666</v>
      </c>
      <c r="C755" s="102">
        <v>2</v>
      </c>
      <c r="D755" s="118">
        <v>0.007438131003215656</v>
      </c>
      <c r="E755" s="118">
        <v>1.7075701760979363</v>
      </c>
      <c r="F755" s="102" t="s">
        <v>2622</v>
      </c>
      <c r="G755" s="102" t="b">
        <v>0</v>
      </c>
      <c r="H755" s="102" t="b">
        <v>0</v>
      </c>
      <c r="I755" s="102" t="b">
        <v>0</v>
      </c>
      <c r="J755" s="102" t="b">
        <v>0</v>
      </c>
      <c r="K755" s="102" t="b">
        <v>0</v>
      </c>
      <c r="L755" s="102" t="b">
        <v>0</v>
      </c>
    </row>
    <row r="756" spans="1:12" ht="15">
      <c r="A756" s="97" t="s">
        <v>2666</v>
      </c>
      <c r="B756" s="102" t="s">
        <v>2664</v>
      </c>
      <c r="C756" s="102">
        <v>2</v>
      </c>
      <c r="D756" s="118">
        <v>0.007438131003215656</v>
      </c>
      <c r="E756" s="118">
        <v>1.7075701760979363</v>
      </c>
      <c r="F756" s="102" t="s">
        <v>2622</v>
      </c>
      <c r="G756" s="102" t="b">
        <v>0</v>
      </c>
      <c r="H756" s="102" t="b">
        <v>0</v>
      </c>
      <c r="I756" s="102" t="b">
        <v>0</v>
      </c>
      <c r="J756" s="102" t="b">
        <v>0</v>
      </c>
      <c r="K756" s="102" t="b">
        <v>0</v>
      </c>
      <c r="L756" s="102" t="b">
        <v>0</v>
      </c>
    </row>
    <row r="757" spans="1:12" ht="15">
      <c r="A757" s="97" t="s">
        <v>2664</v>
      </c>
      <c r="B757" s="102" t="s">
        <v>2667</v>
      </c>
      <c r="C757" s="102">
        <v>2</v>
      </c>
      <c r="D757" s="118">
        <v>0.007438131003215656</v>
      </c>
      <c r="E757" s="118">
        <v>1.7075701760979363</v>
      </c>
      <c r="F757" s="102" t="s">
        <v>2622</v>
      </c>
      <c r="G757" s="102" t="b">
        <v>0</v>
      </c>
      <c r="H757" s="102" t="b">
        <v>0</v>
      </c>
      <c r="I757" s="102" t="b">
        <v>0</v>
      </c>
      <c r="J757" s="102" t="b">
        <v>0</v>
      </c>
      <c r="K757" s="102" t="b">
        <v>0</v>
      </c>
      <c r="L757" s="102" t="b">
        <v>0</v>
      </c>
    </row>
    <row r="758" spans="1:12" ht="15">
      <c r="A758" s="97" t="s">
        <v>2667</v>
      </c>
      <c r="B758" s="102" t="s">
        <v>2663</v>
      </c>
      <c r="C758" s="102">
        <v>2</v>
      </c>
      <c r="D758" s="118">
        <v>0.007438131003215656</v>
      </c>
      <c r="E758" s="118">
        <v>1.7075701760979363</v>
      </c>
      <c r="F758" s="102" t="s">
        <v>2622</v>
      </c>
      <c r="G758" s="102" t="b">
        <v>0</v>
      </c>
      <c r="H758" s="102" t="b">
        <v>0</v>
      </c>
      <c r="I758" s="102" t="b">
        <v>0</v>
      </c>
      <c r="J758" s="102" t="b">
        <v>0</v>
      </c>
      <c r="K758" s="102" t="b">
        <v>0</v>
      </c>
      <c r="L758" s="102" t="b">
        <v>0</v>
      </c>
    </row>
    <row r="759" spans="1:12" ht="15">
      <c r="A759" s="97" t="s">
        <v>2663</v>
      </c>
      <c r="B759" s="102" t="s">
        <v>712</v>
      </c>
      <c r="C759" s="102">
        <v>2</v>
      </c>
      <c r="D759" s="118">
        <v>0.007438131003215656</v>
      </c>
      <c r="E759" s="118">
        <v>1.3096301674258988</v>
      </c>
      <c r="F759" s="102" t="s">
        <v>2622</v>
      </c>
      <c r="G759" s="102" t="b">
        <v>0</v>
      </c>
      <c r="H759" s="102" t="b">
        <v>0</v>
      </c>
      <c r="I759" s="102" t="b">
        <v>0</v>
      </c>
      <c r="J759" s="102" t="b">
        <v>0</v>
      </c>
      <c r="K759" s="102" t="b">
        <v>0</v>
      </c>
      <c r="L759" s="102" t="b">
        <v>0</v>
      </c>
    </row>
    <row r="760" spans="1:12" ht="15">
      <c r="A760" s="97" t="s">
        <v>712</v>
      </c>
      <c r="B760" s="102" t="s">
        <v>2668</v>
      </c>
      <c r="C760" s="102">
        <v>2</v>
      </c>
      <c r="D760" s="118">
        <v>0.007438131003215656</v>
      </c>
      <c r="E760" s="118">
        <v>1.3096301674258988</v>
      </c>
      <c r="F760" s="102" t="s">
        <v>2622</v>
      </c>
      <c r="G760" s="102" t="b">
        <v>0</v>
      </c>
      <c r="H760" s="102" t="b">
        <v>0</v>
      </c>
      <c r="I760" s="102" t="b">
        <v>0</v>
      </c>
      <c r="J760" s="102" t="b">
        <v>0</v>
      </c>
      <c r="K760" s="102" t="b">
        <v>0</v>
      </c>
      <c r="L760" s="102" t="b">
        <v>0</v>
      </c>
    </row>
    <row r="761" spans="1:12" ht="15">
      <c r="A761" s="97" t="s">
        <v>2668</v>
      </c>
      <c r="B761" s="102" t="s">
        <v>2672</v>
      </c>
      <c r="C761" s="102">
        <v>2</v>
      </c>
      <c r="D761" s="118">
        <v>0.007438131003215656</v>
      </c>
      <c r="E761" s="118">
        <v>1.7075701760979363</v>
      </c>
      <c r="F761" s="102" t="s">
        <v>2622</v>
      </c>
      <c r="G761" s="102" t="b">
        <v>0</v>
      </c>
      <c r="H761" s="102" t="b">
        <v>0</v>
      </c>
      <c r="I761" s="102" t="b">
        <v>0</v>
      </c>
      <c r="J761" s="102" t="b">
        <v>0</v>
      </c>
      <c r="K761" s="102" t="b">
        <v>0</v>
      </c>
      <c r="L761" s="102" t="b">
        <v>0</v>
      </c>
    </row>
    <row r="762" spans="1:12" ht="15">
      <c r="A762" s="97" t="s">
        <v>2672</v>
      </c>
      <c r="B762" s="102" t="s">
        <v>2665</v>
      </c>
      <c r="C762" s="102">
        <v>2</v>
      </c>
      <c r="D762" s="118">
        <v>0.007438131003215656</v>
      </c>
      <c r="E762" s="118">
        <v>1.7075701760979363</v>
      </c>
      <c r="F762" s="102" t="s">
        <v>2622</v>
      </c>
      <c r="G762" s="102" t="b">
        <v>0</v>
      </c>
      <c r="H762" s="102" t="b">
        <v>0</v>
      </c>
      <c r="I762" s="102" t="b">
        <v>0</v>
      </c>
      <c r="J762" s="102" t="b">
        <v>0</v>
      </c>
      <c r="K762" s="102" t="b">
        <v>0</v>
      </c>
      <c r="L762" s="102" t="b">
        <v>0</v>
      </c>
    </row>
    <row r="763" spans="1:12" ht="15">
      <c r="A763" s="97" t="s">
        <v>2790</v>
      </c>
      <c r="B763" s="102" t="s">
        <v>3078</v>
      </c>
      <c r="C763" s="102">
        <v>2</v>
      </c>
      <c r="D763" s="118">
        <v>0.007438131003215656</v>
      </c>
      <c r="E763" s="118">
        <v>1.7075701760979363</v>
      </c>
      <c r="F763" s="102" t="s">
        <v>2622</v>
      </c>
      <c r="G763" s="102" t="b">
        <v>0</v>
      </c>
      <c r="H763" s="102" t="b">
        <v>0</v>
      </c>
      <c r="I763" s="102" t="b">
        <v>0</v>
      </c>
      <c r="J763" s="102" t="b">
        <v>0</v>
      </c>
      <c r="K763" s="102" t="b">
        <v>0</v>
      </c>
      <c r="L763" s="102" t="b">
        <v>0</v>
      </c>
    </row>
    <row r="764" spans="1:12" ht="15">
      <c r="A764" s="97" t="s">
        <v>3078</v>
      </c>
      <c r="B764" s="102" t="s">
        <v>3079</v>
      </c>
      <c r="C764" s="102">
        <v>2</v>
      </c>
      <c r="D764" s="118">
        <v>0.007438131003215656</v>
      </c>
      <c r="E764" s="118">
        <v>1.7075701760979363</v>
      </c>
      <c r="F764" s="102" t="s">
        <v>2622</v>
      </c>
      <c r="G764" s="102" t="b">
        <v>0</v>
      </c>
      <c r="H764" s="102" t="b">
        <v>0</v>
      </c>
      <c r="I764" s="102" t="b">
        <v>0</v>
      </c>
      <c r="J764" s="102" t="b">
        <v>0</v>
      </c>
      <c r="K764" s="102" t="b">
        <v>0</v>
      </c>
      <c r="L764" s="102" t="b">
        <v>0</v>
      </c>
    </row>
    <row r="765" spans="1:12" ht="15">
      <c r="A765" s="97" t="s">
        <v>3079</v>
      </c>
      <c r="B765" s="102" t="s">
        <v>3080</v>
      </c>
      <c r="C765" s="102">
        <v>2</v>
      </c>
      <c r="D765" s="118">
        <v>0.007438131003215656</v>
      </c>
      <c r="E765" s="118">
        <v>1.7075701760979363</v>
      </c>
      <c r="F765" s="102" t="s">
        <v>2622</v>
      </c>
      <c r="G765" s="102" t="b">
        <v>0</v>
      </c>
      <c r="H765" s="102" t="b">
        <v>0</v>
      </c>
      <c r="I765" s="102" t="b">
        <v>0</v>
      </c>
      <c r="J765" s="102" t="b">
        <v>0</v>
      </c>
      <c r="K765" s="102" t="b">
        <v>0</v>
      </c>
      <c r="L765" s="102" t="b">
        <v>0</v>
      </c>
    </row>
    <row r="766" spans="1:12" ht="15">
      <c r="A766" s="97" t="s">
        <v>3080</v>
      </c>
      <c r="B766" s="102" t="s">
        <v>2846</v>
      </c>
      <c r="C766" s="102">
        <v>2</v>
      </c>
      <c r="D766" s="118">
        <v>0.007438131003215656</v>
      </c>
      <c r="E766" s="118">
        <v>1.7075701760979363</v>
      </c>
      <c r="F766" s="102" t="s">
        <v>2622</v>
      </c>
      <c r="G766" s="102" t="b">
        <v>0</v>
      </c>
      <c r="H766" s="102" t="b">
        <v>0</v>
      </c>
      <c r="I766" s="102" t="b">
        <v>0</v>
      </c>
      <c r="J766" s="102" t="b">
        <v>0</v>
      </c>
      <c r="K766" s="102" t="b">
        <v>0</v>
      </c>
      <c r="L766" s="102" t="b">
        <v>0</v>
      </c>
    </row>
    <row r="767" spans="1:12" ht="15">
      <c r="A767" s="97" t="s">
        <v>2846</v>
      </c>
      <c r="B767" s="102" t="s">
        <v>3081</v>
      </c>
      <c r="C767" s="102">
        <v>2</v>
      </c>
      <c r="D767" s="118">
        <v>0.007438131003215656</v>
      </c>
      <c r="E767" s="118">
        <v>1.7075701760979363</v>
      </c>
      <c r="F767" s="102" t="s">
        <v>2622</v>
      </c>
      <c r="G767" s="102" t="b">
        <v>0</v>
      </c>
      <c r="H767" s="102" t="b">
        <v>0</v>
      </c>
      <c r="I767" s="102" t="b">
        <v>0</v>
      </c>
      <c r="J767" s="102" t="b">
        <v>0</v>
      </c>
      <c r="K767" s="102" t="b">
        <v>0</v>
      </c>
      <c r="L767" s="102" t="b">
        <v>0</v>
      </c>
    </row>
    <row r="768" spans="1:12" ht="15">
      <c r="A768" s="97" t="s">
        <v>3081</v>
      </c>
      <c r="B768" s="102" t="s">
        <v>3082</v>
      </c>
      <c r="C768" s="102">
        <v>2</v>
      </c>
      <c r="D768" s="118">
        <v>0.007438131003215656</v>
      </c>
      <c r="E768" s="118">
        <v>1.7075701760979363</v>
      </c>
      <c r="F768" s="102" t="s">
        <v>2622</v>
      </c>
      <c r="G768" s="102" t="b">
        <v>0</v>
      </c>
      <c r="H768" s="102" t="b">
        <v>0</v>
      </c>
      <c r="I768" s="102" t="b">
        <v>0</v>
      </c>
      <c r="J768" s="102" t="b">
        <v>0</v>
      </c>
      <c r="K768" s="102" t="b">
        <v>0</v>
      </c>
      <c r="L768" s="102" t="b">
        <v>0</v>
      </c>
    </row>
    <row r="769" spans="1:12" ht="15">
      <c r="A769" s="97" t="s">
        <v>3082</v>
      </c>
      <c r="B769" s="102" t="s">
        <v>3083</v>
      </c>
      <c r="C769" s="102">
        <v>2</v>
      </c>
      <c r="D769" s="118">
        <v>0.007438131003215656</v>
      </c>
      <c r="E769" s="118">
        <v>1.7075701760979363</v>
      </c>
      <c r="F769" s="102" t="s">
        <v>2622</v>
      </c>
      <c r="G769" s="102" t="b">
        <v>0</v>
      </c>
      <c r="H769" s="102" t="b">
        <v>0</v>
      </c>
      <c r="I769" s="102" t="b">
        <v>0</v>
      </c>
      <c r="J769" s="102" t="b">
        <v>0</v>
      </c>
      <c r="K769" s="102" t="b">
        <v>0</v>
      </c>
      <c r="L769" s="102" t="b">
        <v>0</v>
      </c>
    </row>
    <row r="770" spans="1:12" ht="15">
      <c r="A770" s="97" t="s">
        <v>3083</v>
      </c>
      <c r="B770" s="102" t="s">
        <v>3084</v>
      </c>
      <c r="C770" s="102">
        <v>2</v>
      </c>
      <c r="D770" s="118">
        <v>0.007438131003215656</v>
      </c>
      <c r="E770" s="118">
        <v>1.7075701760979363</v>
      </c>
      <c r="F770" s="102" t="s">
        <v>2622</v>
      </c>
      <c r="G770" s="102" t="b">
        <v>0</v>
      </c>
      <c r="H770" s="102" t="b">
        <v>0</v>
      </c>
      <c r="I770" s="102" t="b">
        <v>0</v>
      </c>
      <c r="J770" s="102" t="b">
        <v>0</v>
      </c>
      <c r="K770" s="102" t="b">
        <v>0</v>
      </c>
      <c r="L770" s="102" t="b">
        <v>0</v>
      </c>
    </row>
    <row r="771" spans="1:12" ht="15">
      <c r="A771" s="97" t="s">
        <v>3084</v>
      </c>
      <c r="B771" s="102" t="s">
        <v>2788</v>
      </c>
      <c r="C771" s="102">
        <v>2</v>
      </c>
      <c r="D771" s="118">
        <v>0.007438131003215656</v>
      </c>
      <c r="E771" s="118">
        <v>1.7075701760979363</v>
      </c>
      <c r="F771" s="102" t="s">
        <v>2622</v>
      </c>
      <c r="G771" s="102" t="b">
        <v>0</v>
      </c>
      <c r="H771" s="102" t="b">
        <v>0</v>
      </c>
      <c r="I771" s="102" t="b">
        <v>0</v>
      </c>
      <c r="J771" s="102" t="b">
        <v>0</v>
      </c>
      <c r="K771" s="102" t="b">
        <v>0</v>
      </c>
      <c r="L771" s="102" t="b">
        <v>0</v>
      </c>
    </row>
    <row r="772" spans="1:12" ht="15">
      <c r="A772" s="97" t="s">
        <v>2788</v>
      </c>
      <c r="B772" s="102" t="s">
        <v>3085</v>
      </c>
      <c r="C772" s="102">
        <v>2</v>
      </c>
      <c r="D772" s="118">
        <v>0.007438131003215656</v>
      </c>
      <c r="E772" s="118">
        <v>1.7075701760979363</v>
      </c>
      <c r="F772" s="102" t="s">
        <v>2622</v>
      </c>
      <c r="G772" s="102" t="b">
        <v>0</v>
      </c>
      <c r="H772" s="102" t="b">
        <v>0</v>
      </c>
      <c r="I772" s="102" t="b">
        <v>0</v>
      </c>
      <c r="J772" s="102" t="b">
        <v>0</v>
      </c>
      <c r="K772" s="102" t="b">
        <v>0</v>
      </c>
      <c r="L772" s="102" t="b">
        <v>0</v>
      </c>
    </row>
    <row r="773" spans="1:12" ht="15">
      <c r="A773" s="97" t="s">
        <v>3085</v>
      </c>
      <c r="B773" s="102" t="s">
        <v>2869</v>
      </c>
      <c r="C773" s="102">
        <v>2</v>
      </c>
      <c r="D773" s="118">
        <v>0.007438131003215656</v>
      </c>
      <c r="E773" s="118">
        <v>1.7075701760979363</v>
      </c>
      <c r="F773" s="102" t="s">
        <v>2622</v>
      </c>
      <c r="G773" s="102" t="b">
        <v>0</v>
      </c>
      <c r="H773" s="102" t="b">
        <v>0</v>
      </c>
      <c r="I773" s="102" t="b">
        <v>0</v>
      </c>
      <c r="J773" s="102" t="b">
        <v>0</v>
      </c>
      <c r="K773" s="102" t="b">
        <v>0</v>
      </c>
      <c r="L773" s="102" t="b">
        <v>0</v>
      </c>
    </row>
    <row r="774" spans="1:12" ht="15">
      <c r="A774" s="97" t="s">
        <v>2869</v>
      </c>
      <c r="B774" s="102" t="s">
        <v>3086</v>
      </c>
      <c r="C774" s="102">
        <v>2</v>
      </c>
      <c r="D774" s="118">
        <v>0.007438131003215656</v>
      </c>
      <c r="E774" s="118">
        <v>1.7075701760979363</v>
      </c>
      <c r="F774" s="102" t="s">
        <v>2622</v>
      </c>
      <c r="G774" s="102" t="b">
        <v>0</v>
      </c>
      <c r="H774" s="102" t="b">
        <v>0</v>
      </c>
      <c r="I774" s="102" t="b">
        <v>0</v>
      </c>
      <c r="J774" s="102" t="b">
        <v>0</v>
      </c>
      <c r="K774" s="102" t="b">
        <v>0</v>
      </c>
      <c r="L774" s="102" t="b">
        <v>0</v>
      </c>
    </row>
    <row r="775" spans="1:12" ht="15">
      <c r="A775" s="97" t="s">
        <v>3086</v>
      </c>
      <c r="B775" s="102" t="s">
        <v>3087</v>
      </c>
      <c r="C775" s="102">
        <v>2</v>
      </c>
      <c r="D775" s="118">
        <v>0.007438131003215656</v>
      </c>
      <c r="E775" s="118">
        <v>1.7075701760979363</v>
      </c>
      <c r="F775" s="102" t="s">
        <v>2622</v>
      </c>
      <c r="G775" s="102" t="b">
        <v>0</v>
      </c>
      <c r="H775" s="102" t="b">
        <v>0</v>
      </c>
      <c r="I775" s="102" t="b">
        <v>0</v>
      </c>
      <c r="J775" s="102" t="b">
        <v>0</v>
      </c>
      <c r="K775" s="102" t="b">
        <v>0</v>
      </c>
      <c r="L775" s="102" t="b">
        <v>0</v>
      </c>
    </row>
    <row r="776" spans="1:12" ht="15">
      <c r="A776" s="97" t="s">
        <v>3087</v>
      </c>
      <c r="B776" s="102" t="s">
        <v>3088</v>
      </c>
      <c r="C776" s="102">
        <v>2</v>
      </c>
      <c r="D776" s="118">
        <v>0.007438131003215656</v>
      </c>
      <c r="E776" s="118">
        <v>1.7075701760979363</v>
      </c>
      <c r="F776" s="102" t="s">
        <v>2622</v>
      </c>
      <c r="G776" s="102" t="b">
        <v>0</v>
      </c>
      <c r="H776" s="102" t="b">
        <v>0</v>
      </c>
      <c r="I776" s="102" t="b">
        <v>0</v>
      </c>
      <c r="J776" s="102" t="b">
        <v>0</v>
      </c>
      <c r="K776" s="102" t="b">
        <v>0</v>
      </c>
      <c r="L776" s="102" t="b">
        <v>0</v>
      </c>
    </row>
    <row r="777" spans="1:12" ht="15">
      <c r="A777" s="97" t="s">
        <v>3088</v>
      </c>
      <c r="B777" s="102" t="s">
        <v>2810</v>
      </c>
      <c r="C777" s="102">
        <v>2</v>
      </c>
      <c r="D777" s="118">
        <v>0.007438131003215656</v>
      </c>
      <c r="E777" s="118">
        <v>1.4065401804339552</v>
      </c>
      <c r="F777" s="102" t="s">
        <v>2622</v>
      </c>
      <c r="G777" s="102" t="b">
        <v>0</v>
      </c>
      <c r="H777" s="102" t="b">
        <v>0</v>
      </c>
      <c r="I777" s="102" t="b">
        <v>0</v>
      </c>
      <c r="J777" s="102" t="b">
        <v>0</v>
      </c>
      <c r="K777" s="102" t="b">
        <v>0</v>
      </c>
      <c r="L777" s="102" t="b">
        <v>0</v>
      </c>
    </row>
    <row r="778" spans="1:12" ht="15">
      <c r="A778" s="97" t="s">
        <v>2810</v>
      </c>
      <c r="B778" s="102" t="s">
        <v>712</v>
      </c>
      <c r="C778" s="102">
        <v>2</v>
      </c>
      <c r="D778" s="118">
        <v>0.007438131003215656</v>
      </c>
      <c r="E778" s="118">
        <v>1.0086001717619175</v>
      </c>
      <c r="F778" s="102" t="s">
        <v>2622</v>
      </c>
      <c r="G778" s="102" t="b">
        <v>0</v>
      </c>
      <c r="H778" s="102" t="b">
        <v>0</v>
      </c>
      <c r="I778" s="102" t="b">
        <v>0</v>
      </c>
      <c r="J778" s="102" t="b">
        <v>0</v>
      </c>
      <c r="K778" s="102" t="b">
        <v>0</v>
      </c>
      <c r="L778" s="102" t="b">
        <v>0</v>
      </c>
    </row>
    <row r="779" spans="1:12" ht="15">
      <c r="A779" s="97" t="s">
        <v>712</v>
      </c>
      <c r="B779" s="102" t="s">
        <v>2682</v>
      </c>
      <c r="C779" s="102">
        <v>2</v>
      </c>
      <c r="D779" s="118">
        <v>0.007438131003215656</v>
      </c>
      <c r="E779" s="118">
        <v>1.3096301674258988</v>
      </c>
      <c r="F779" s="102" t="s">
        <v>2622</v>
      </c>
      <c r="G779" s="102" t="b">
        <v>0</v>
      </c>
      <c r="H779" s="102" t="b">
        <v>0</v>
      </c>
      <c r="I779" s="102" t="b">
        <v>0</v>
      </c>
      <c r="J779" s="102" t="b">
        <v>0</v>
      </c>
      <c r="K779" s="102" t="b">
        <v>0</v>
      </c>
      <c r="L779" s="102" t="b">
        <v>0</v>
      </c>
    </row>
    <row r="780" spans="1:12" ht="15">
      <c r="A780" s="97" t="s">
        <v>2682</v>
      </c>
      <c r="B780" s="102" t="s">
        <v>3089</v>
      </c>
      <c r="C780" s="102">
        <v>2</v>
      </c>
      <c r="D780" s="118">
        <v>0.007438131003215656</v>
      </c>
      <c r="E780" s="118">
        <v>1.7075701760979363</v>
      </c>
      <c r="F780" s="102" t="s">
        <v>2622</v>
      </c>
      <c r="G780" s="102" t="b">
        <v>0</v>
      </c>
      <c r="H780" s="102" t="b">
        <v>0</v>
      </c>
      <c r="I780" s="102" t="b">
        <v>0</v>
      </c>
      <c r="J780" s="102" t="b">
        <v>0</v>
      </c>
      <c r="K780" s="102" t="b">
        <v>0</v>
      </c>
      <c r="L780" s="102" t="b">
        <v>0</v>
      </c>
    </row>
    <row r="781" spans="1:12" ht="15">
      <c r="A781" s="97" t="s">
        <v>3089</v>
      </c>
      <c r="B781" s="102" t="s">
        <v>2710</v>
      </c>
      <c r="C781" s="102">
        <v>2</v>
      </c>
      <c r="D781" s="118">
        <v>0.007438131003215656</v>
      </c>
      <c r="E781" s="118">
        <v>1.7075701760979363</v>
      </c>
      <c r="F781" s="102" t="s">
        <v>2622</v>
      </c>
      <c r="G781" s="102" t="b">
        <v>0</v>
      </c>
      <c r="H781" s="102" t="b">
        <v>0</v>
      </c>
      <c r="I781" s="102" t="b">
        <v>0</v>
      </c>
      <c r="J781" s="102" t="b">
        <v>0</v>
      </c>
      <c r="K781" s="102" t="b">
        <v>0</v>
      </c>
      <c r="L781" s="102" t="b">
        <v>0</v>
      </c>
    </row>
    <row r="782" spans="1:12" ht="15">
      <c r="A782" s="97" t="s">
        <v>2710</v>
      </c>
      <c r="B782" s="102" t="s">
        <v>2750</v>
      </c>
      <c r="C782" s="102">
        <v>2</v>
      </c>
      <c r="D782" s="118">
        <v>0.007438131003215656</v>
      </c>
      <c r="E782" s="118">
        <v>1.7075701760979363</v>
      </c>
      <c r="F782" s="102" t="s">
        <v>2622</v>
      </c>
      <c r="G782" s="102" t="b">
        <v>0</v>
      </c>
      <c r="H782" s="102" t="b">
        <v>0</v>
      </c>
      <c r="I782" s="102" t="b">
        <v>0</v>
      </c>
      <c r="J782" s="102" t="b">
        <v>0</v>
      </c>
      <c r="K782" s="102" t="b">
        <v>0</v>
      </c>
      <c r="L782" s="102" t="b">
        <v>0</v>
      </c>
    </row>
    <row r="783" spans="1:12" ht="15">
      <c r="A783" s="97" t="s">
        <v>2750</v>
      </c>
      <c r="B783" s="102" t="s">
        <v>2751</v>
      </c>
      <c r="C783" s="102">
        <v>2</v>
      </c>
      <c r="D783" s="118">
        <v>0.007438131003215656</v>
      </c>
      <c r="E783" s="118">
        <v>1.7075701760979363</v>
      </c>
      <c r="F783" s="102" t="s">
        <v>2622</v>
      </c>
      <c r="G783" s="102" t="b">
        <v>0</v>
      </c>
      <c r="H783" s="102" t="b">
        <v>0</v>
      </c>
      <c r="I783" s="102" t="b">
        <v>0</v>
      </c>
      <c r="J783" s="102" t="b">
        <v>0</v>
      </c>
      <c r="K783" s="102" t="b">
        <v>0</v>
      </c>
      <c r="L783" s="102" t="b">
        <v>0</v>
      </c>
    </row>
    <row r="784" spans="1:12" ht="15">
      <c r="A784" s="97" t="s">
        <v>2751</v>
      </c>
      <c r="B784" s="102" t="s">
        <v>2848</v>
      </c>
      <c r="C784" s="102">
        <v>2</v>
      </c>
      <c r="D784" s="118">
        <v>0.007438131003215656</v>
      </c>
      <c r="E784" s="118">
        <v>1.7075701760979363</v>
      </c>
      <c r="F784" s="102" t="s">
        <v>2622</v>
      </c>
      <c r="G784" s="102" t="b">
        <v>0</v>
      </c>
      <c r="H784" s="102" t="b">
        <v>0</v>
      </c>
      <c r="I784" s="102" t="b">
        <v>0</v>
      </c>
      <c r="J784" s="102" t="b">
        <v>0</v>
      </c>
      <c r="K784" s="102" t="b">
        <v>0</v>
      </c>
      <c r="L784" s="102" t="b">
        <v>0</v>
      </c>
    </row>
    <row r="785" spans="1:12" ht="15">
      <c r="A785" s="97" t="s">
        <v>2848</v>
      </c>
      <c r="B785" s="102" t="s">
        <v>2832</v>
      </c>
      <c r="C785" s="102">
        <v>2</v>
      </c>
      <c r="D785" s="118">
        <v>0.007438131003215656</v>
      </c>
      <c r="E785" s="118">
        <v>1.7075701760979363</v>
      </c>
      <c r="F785" s="102" t="s">
        <v>2622</v>
      </c>
      <c r="G785" s="102" t="b">
        <v>0</v>
      </c>
      <c r="H785" s="102" t="b">
        <v>0</v>
      </c>
      <c r="I785" s="102" t="b">
        <v>0</v>
      </c>
      <c r="J785" s="102" t="b">
        <v>0</v>
      </c>
      <c r="K785" s="102" t="b">
        <v>0</v>
      </c>
      <c r="L785" s="102" t="b">
        <v>0</v>
      </c>
    </row>
    <row r="786" spans="1:12" ht="15">
      <c r="A786" s="97" t="s">
        <v>2832</v>
      </c>
      <c r="B786" s="102" t="s">
        <v>2810</v>
      </c>
      <c r="C786" s="102">
        <v>2</v>
      </c>
      <c r="D786" s="118">
        <v>0.007438131003215656</v>
      </c>
      <c r="E786" s="118">
        <v>1.4065401804339552</v>
      </c>
      <c r="F786" s="102" t="s">
        <v>2622</v>
      </c>
      <c r="G786" s="102" t="b">
        <v>0</v>
      </c>
      <c r="H786" s="102" t="b">
        <v>0</v>
      </c>
      <c r="I786" s="102" t="b">
        <v>0</v>
      </c>
      <c r="J786" s="102" t="b">
        <v>0</v>
      </c>
      <c r="K786" s="102" t="b">
        <v>0</v>
      </c>
      <c r="L786" s="102" t="b">
        <v>0</v>
      </c>
    </row>
    <row r="787" spans="1:12" ht="15">
      <c r="A787" s="97" t="s">
        <v>2810</v>
      </c>
      <c r="B787" s="102" t="s">
        <v>2744</v>
      </c>
      <c r="C787" s="102">
        <v>2</v>
      </c>
      <c r="D787" s="118">
        <v>0.007438131003215656</v>
      </c>
      <c r="E787" s="118">
        <v>0.9294189257142927</v>
      </c>
      <c r="F787" s="102" t="s">
        <v>2622</v>
      </c>
      <c r="G787" s="102" t="b">
        <v>0</v>
      </c>
      <c r="H787" s="102" t="b">
        <v>0</v>
      </c>
      <c r="I787" s="102" t="b">
        <v>0</v>
      </c>
      <c r="J787" s="102" t="b">
        <v>0</v>
      </c>
      <c r="K787" s="102" t="b">
        <v>0</v>
      </c>
      <c r="L787" s="102" t="b">
        <v>0</v>
      </c>
    </row>
    <row r="788" spans="1:12" ht="15">
      <c r="A788" s="97" t="s">
        <v>2738</v>
      </c>
      <c r="B788" s="102" t="s">
        <v>2748</v>
      </c>
      <c r="C788" s="102">
        <v>2</v>
      </c>
      <c r="D788" s="118">
        <v>0</v>
      </c>
      <c r="E788" s="118">
        <v>1.0969100130080565</v>
      </c>
      <c r="F788" s="102" t="s">
        <v>2626</v>
      </c>
      <c r="G788" s="102" t="b">
        <v>0</v>
      </c>
      <c r="H788" s="102" t="b">
        <v>0</v>
      </c>
      <c r="I788" s="102" t="b">
        <v>0</v>
      </c>
      <c r="J788" s="102" t="b">
        <v>0</v>
      </c>
      <c r="K788" s="102" t="b">
        <v>0</v>
      </c>
      <c r="L788" s="102" t="b">
        <v>0</v>
      </c>
    </row>
    <row r="789" spans="1:12" ht="15">
      <c r="A789" s="97" t="s">
        <v>2748</v>
      </c>
      <c r="B789" s="102" t="s">
        <v>2807</v>
      </c>
      <c r="C789" s="102">
        <v>2</v>
      </c>
      <c r="D789" s="118">
        <v>0</v>
      </c>
      <c r="E789" s="118">
        <v>1.0969100130080565</v>
      </c>
      <c r="F789" s="102" t="s">
        <v>2626</v>
      </c>
      <c r="G789" s="102" t="b">
        <v>0</v>
      </c>
      <c r="H789" s="102" t="b">
        <v>0</v>
      </c>
      <c r="I789" s="102" t="b">
        <v>0</v>
      </c>
      <c r="J789" s="102" t="b">
        <v>0</v>
      </c>
      <c r="K789" s="102" t="b">
        <v>0</v>
      </c>
      <c r="L789" s="102" t="b">
        <v>0</v>
      </c>
    </row>
    <row r="790" spans="1:12" ht="15">
      <c r="A790" s="97" t="s">
        <v>2742</v>
      </c>
      <c r="B790" s="102" t="s">
        <v>3092</v>
      </c>
      <c r="C790" s="102">
        <v>2</v>
      </c>
      <c r="D790" s="118">
        <v>0</v>
      </c>
      <c r="E790" s="118">
        <v>1.301029995663981</v>
      </c>
      <c r="F790" s="102" t="s">
        <v>2634</v>
      </c>
      <c r="G790" s="102" t="b">
        <v>0</v>
      </c>
      <c r="H790" s="102" t="b">
        <v>0</v>
      </c>
      <c r="I790" s="102" t="b">
        <v>0</v>
      </c>
      <c r="J790" s="102" t="b">
        <v>0</v>
      </c>
      <c r="K790" s="102" t="b">
        <v>0</v>
      </c>
      <c r="L790" s="102" t="b">
        <v>0</v>
      </c>
    </row>
    <row r="791" spans="1:12" ht="15">
      <c r="A791" s="97" t="s">
        <v>3092</v>
      </c>
      <c r="B791" s="102" t="s">
        <v>3093</v>
      </c>
      <c r="C791" s="102">
        <v>2</v>
      </c>
      <c r="D791" s="118">
        <v>0</v>
      </c>
      <c r="E791" s="118">
        <v>1.301029995663981</v>
      </c>
      <c r="F791" s="102" t="s">
        <v>2634</v>
      </c>
      <c r="G791" s="102" t="b">
        <v>0</v>
      </c>
      <c r="H791" s="102" t="b">
        <v>0</v>
      </c>
      <c r="I791" s="102" t="b">
        <v>0</v>
      </c>
      <c r="J791" s="102" t="b">
        <v>0</v>
      </c>
      <c r="K791" s="102" t="b">
        <v>0</v>
      </c>
      <c r="L791" s="102" t="b">
        <v>0</v>
      </c>
    </row>
    <row r="792" spans="1:12" ht="15">
      <c r="A792" s="97" t="s">
        <v>3093</v>
      </c>
      <c r="B792" s="102" t="s">
        <v>3094</v>
      </c>
      <c r="C792" s="102">
        <v>2</v>
      </c>
      <c r="D792" s="118">
        <v>0</v>
      </c>
      <c r="E792" s="118">
        <v>1.301029995663981</v>
      </c>
      <c r="F792" s="102" t="s">
        <v>2634</v>
      </c>
      <c r="G792" s="102" t="b">
        <v>0</v>
      </c>
      <c r="H792" s="102" t="b">
        <v>0</v>
      </c>
      <c r="I792" s="102" t="b">
        <v>0</v>
      </c>
      <c r="J792" s="102" t="b">
        <v>0</v>
      </c>
      <c r="K792" s="102" t="b">
        <v>0</v>
      </c>
      <c r="L792" s="102" t="b">
        <v>0</v>
      </c>
    </row>
    <row r="793" spans="1:12" ht="15">
      <c r="A793" s="97" t="s">
        <v>3094</v>
      </c>
      <c r="B793" s="102" t="s">
        <v>3095</v>
      </c>
      <c r="C793" s="102">
        <v>2</v>
      </c>
      <c r="D793" s="118">
        <v>0</v>
      </c>
      <c r="E793" s="118">
        <v>1.301029995663981</v>
      </c>
      <c r="F793" s="102" t="s">
        <v>2634</v>
      </c>
      <c r="G793" s="102" t="b">
        <v>0</v>
      </c>
      <c r="H793" s="102" t="b">
        <v>0</v>
      </c>
      <c r="I793" s="102" t="b">
        <v>0</v>
      </c>
      <c r="J793" s="102" t="b">
        <v>0</v>
      </c>
      <c r="K793" s="102" t="b">
        <v>0</v>
      </c>
      <c r="L793" s="102" t="b">
        <v>0</v>
      </c>
    </row>
    <row r="794" spans="1:12" ht="15">
      <c r="A794" s="97" t="s">
        <v>3095</v>
      </c>
      <c r="B794" s="102" t="s">
        <v>3096</v>
      </c>
      <c r="C794" s="102">
        <v>2</v>
      </c>
      <c r="D794" s="118">
        <v>0</v>
      </c>
      <c r="E794" s="118">
        <v>1.301029995663981</v>
      </c>
      <c r="F794" s="102" t="s">
        <v>2634</v>
      </c>
      <c r="G794" s="102" t="b">
        <v>0</v>
      </c>
      <c r="H794" s="102" t="b">
        <v>0</v>
      </c>
      <c r="I794" s="102" t="b">
        <v>0</v>
      </c>
      <c r="J794" s="102" t="b">
        <v>0</v>
      </c>
      <c r="K794" s="102" t="b">
        <v>0</v>
      </c>
      <c r="L794" s="102" t="b">
        <v>0</v>
      </c>
    </row>
    <row r="795" spans="1:12" ht="15">
      <c r="A795" s="97" t="s">
        <v>3096</v>
      </c>
      <c r="B795" s="102" t="s">
        <v>3097</v>
      </c>
      <c r="C795" s="102">
        <v>2</v>
      </c>
      <c r="D795" s="118">
        <v>0</v>
      </c>
      <c r="E795" s="118">
        <v>1.301029995663981</v>
      </c>
      <c r="F795" s="102" t="s">
        <v>2634</v>
      </c>
      <c r="G795" s="102" t="b">
        <v>0</v>
      </c>
      <c r="H795" s="102" t="b">
        <v>0</v>
      </c>
      <c r="I795" s="102" t="b">
        <v>0</v>
      </c>
      <c r="J795" s="102" t="b">
        <v>0</v>
      </c>
      <c r="K795" s="102" t="b">
        <v>0</v>
      </c>
      <c r="L795" s="102" t="b">
        <v>0</v>
      </c>
    </row>
    <row r="796" spans="1:12" ht="15">
      <c r="A796" s="97" t="s">
        <v>3097</v>
      </c>
      <c r="B796" s="102" t="s">
        <v>3098</v>
      </c>
      <c r="C796" s="102">
        <v>2</v>
      </c>
      <c r="D796" s="118">
        <v>0</v>
      </c>
      <c r="E796" s="118">
        <v>1.301029995663981</v>
      </c>
      <c r="F796" s="102" t="s">
        <v>2634</v>
      </c>
      <c r="G796" s="102" t="b">
        <v>0</v>
      </c>
      <c r="H796" s="102" t="b">
        <v>0</v>
      </c>
      <c r="I796" s="102" t="b">
        <v>0</v>
      </c>
      <c r="J796" s="102" t="b">
        <v>0</v>
      </c>
      <c r="K796" s="102" t="b">
        <v>0</v>
      </c>
      <c r="L796" s="102" t="b">
        <v>0</v>
      </c>
    </row>
    <row r="797" spans="1:12" ht="15">
      <c r="A797" s="97" t="s">
        <v>3098</v>
      </c>
      <c r="B797" s="102" t="s">
        <v>3099</v>
      </c>
      <c r="C797" s="102">
        <v>2</v>
      </c>
      <c r="D797" s="118">
        <v>0</v>
      </c>
      <c r="E797" s="118">
        <v>1.301029995663981</v>
      </c>
      <c r="F797" s="102" t="s">
        <v>2634</v>
      </c>
      <c r="G797" s="102" t="b">
        <v>0</v>
      </c>
      <c r="H797" s="102" t="b">
        <v>0</v>
      </c>
      <c r="I797" s="102" t="b">
        <v>0</v>
      </c>
      <c r="J797" s="102" t="b">
        <v>0</v>
      </c>
      <c r="K797" s="102" t="b">
        <v>0</v>
      </c>
      <c r="L797" s="102" t="b">
        <v>0</v>
      </c>
    </row>
    <row r="798" spans="1:12" ht="15">
      <c r="A798" s="97" t="s">
        <v>3099</v>
      </c>
      <c r="B798" s="102" t="s">
        <v>3100</v>
      </c>
      <c r="C798" s="102">
        <v>2</v>
      </c>
      <c r="D798" s="118">
        <v>0</v>
      </c>
      <c r="E798" s="118">
        <v>1.301029995663981</v>
      </c>
      <c r="F798" s="102" t="s">
        <v>2634</v>
      </c>
      <c r="G798" s="102" t="b">
        <v>0</v>
      </c>
      <c r="H798" s="102" t="b">
        <v>0</v>
      </c>
      <c r="I798" s="102" t="b">
        <v>0</v>
      </c>
      <c r="J798" s="102" t="b">
        <v>0</v>
      </c>
      <c r="K798" s="102" t="b">
        <v>0</v>
      </c>
      <c r="L798" s="102" t="b">
        <v>0</v>
      </c>
    </row>
    <row r="799" spans="1:12" ht="15">
      <c r="A799" s="97" t="s">
        <v>3100</v>
      </c>
      <c r="B799" s="102" t="s">
        <v>2765</v>
      </c>
      <c r="C799" s="102">
        <v>2</v>
      </c>
      <c r="D799" s="118">
        <v>0</v>
      </c>
      <c r="E799" s="118">
        <v>1.301029995663981</v>
      </c>
      <c r="F799" s="102" t="s">
        <v>2634</v>
      </c>
      <c r="G799" s="102" t="b">
        <v>0</v>
      </c>
      <c r="H799" s="102" t="b">
        <v>0</v>
      </c>
      <c r="I799" s="102" t="b">
        <v>0</v>
      </c>
      <c r="J799" s="102" t="b">
        <v>0</v>
      </c>
      <c r="K799" s="102" t="b">
        <v>0</v>
      </c>
      <c r="L799" s="102" t="b">
        <v>0</v>
      </c>
    </row>
    <row r="800" spans="1:12" ht="15">
      <c r="A800" s="97" t="s">
        <v>2765</v>
      </c>
      <c r="B800" s="102" t="s">
        <v>2662</v>
      </c>
      <c r="C800" s="102">
        <v>2</v>
      </c>
      <c r="D800" s="118">
        <v>0</v>
      </c>
      <c r="E800" s="118">
        <v>1.301029995663981</v>
      </c>
      <c r="F800" s="102" t="s">
        <v>2634</v>
      </c>
      <c r="G800" s="102" t="b">
        <v>0</v>
      </c>
      <c r="H800" s="102" t="b">
        <v>0</v>
      </c>
      <c r="I800" s="102" t="b">
        <v>0</v>
      </c>
      <c r="J800" s="102" t="b">
        <v>0</v>
      </c>
      <c r="K800" s="102" t="b">
        <v>0</v>
      </c>
      <c r="L800" s="102" t="b">
        <v>0</v>
      </c>
    </row>
    <row r="801" spans="1:12" ht="15">
      <c r="A801" s="97" t="s">
        <v>2662</v>
      </c>
      <c r="B801" s="102" t="s">
        <v>2851</v>
      </c>
      <c r="C801" s="102">
        <v>2</v>
      </c>
      <c r="D801" s="118">
        <v>0</v>
      </c>
      <c r="E801" s="118">
        <v>1.301029995663981</v>
      </c>
      <c r="F801" s="102" t="s">
        <v>2634</v>
      </c>
      <c r="G801" s="102" t="b">
        <v>0</v>
      </c>
      <c r="H801" s="102" t="b">
        <v>0</v>
      </c>
      <c r="I801" s="102" t="b">
        <v>0</v>
      </c>
      <c r="J801" s="102" t="b">
        <v>0</v>
      </c>
      <c r="K801" s="102" t="b">
        <v>0</v>
      </c>
      <c r="L801" s="102" t="b">
        <v>0</v>
      </c>
    </row>
    <row r="802" spans="1:12" ht="15">
      <c r="A802" s="97" t="s">
        <v>2851</v>
      </c>
      <c r="B802" s="102" t="s">
        <v>2852</v>
      </c>
      <c r="C802" s="102">
        <v>2</v>
      </c>
      <c r="D802" s="118">
        <v>0</v>
      </c>
      <c r="E802" s="118">
        <v>1.301029995663981</v>
      </c>
      <c r="F802" s="102" t="s">
        <v>2634</v>
      </c>
      <c r="G802" s="102" t="b">
        <v>0</v>
      </c>
      <c r="H802" s="102" t="b">
        <v>0</v>
      </c>
      <c r="I802" s="102" t="b">
        <v>0</v>
      </c>
      <c r="J802" s="102" t="b">
        <v>0</v>
      </c>
      <c r="K802" s="102" t="b">
        <v>0</v>
      </c>
      <c r="L802" s="102" t="b">
        <v>0</v>
      </c>
    </row>
    <row r="803" spans="1:12" ht="15">
      <c r="A803" s="97" t="s">
        <v>2852</v>
      </c>
      <c r="B803" s="102" t="s">
        <v>2874</v>
      </c>
      <c r="C803" s="102">
        <v>2</v>
      </c>
      <c r="D803" s="118">
        <v>0</v>
      </c>
      <c r="E803" s="118">
        <v>1.301029995663981</v>
      </c>
      <c r="F803" s="102" t="s">
        <v>2634</v>
      </c>
      <c r="G803" s="102" t="b">
        <v>0</v>
      </c>
      <c r="H803" s="102" t="b">
        <v>0</v>
      </c>
      <c r="I803" s="102" t="b">
        <v>0</v>
      </c>
      <c r="J803" s="102" t="b">
        <v>0</v>
      </c>
      <c r="K803" s="102" t="b">
        <v>0</v>
      </c>
      <c r="L803" s="102" t="b">
        <v>0</v>
      </c>
    </row>
    <row r="804" spans="1:12" ht="15">
      <c r="A804" s="97" t="s">
        <v>2874</v>
      </c>
      <c r="B804" s="102" t="s">
        <v>2754</v>
      </c>
      <c r="C804" s="102">
        <v>2</v>
      </c>
      <c r="D804" s="118">
        <v>0</v>
      </c>
      <c r="E804" s="118">
        <v>1.301029995663981</v>
      </c>
      <c r="F804" s="102" t="s">
        <v>2634</v>
      </c>
      <c r="G804" s="102" t="b">
        <v>0</v>
      </c>
      <c r="H804" s="102" t="b">
        <v>0</v>
      </c>
      <c r="I804" s="102" t="b">
        <v>0</v>
      </c>
      <c r="J804" s="102" t="b">
        <v>0</v>
      </c>
      <c r="K804" s="102" t="b">
        <v>0</v>
      </c>
      <c r="L804" s="102" t="b">
        <v>0</v>
      </c>
    </row>
    <row r="805" spans="1:12" ht="15">
      <c r="A805" s="97" t="s">
        <v>2754</v>
      </c>
      <c r="B805" s="102" t="s">
        <v>3101</v>
      </c>
      <c r="C805" s="102">
        <v>2</v>
      </c>
      <c r="D805" s="118">
        <v>0</v>
      </c>
      <c r="E805" s="118">
        <v>1.301029995663981</v>
      </c>
      <c r="F805" s="102" t="s">
        <v>2634</v>
      </c>
      <c r="G805" s="102" t="b">
        <v>0</v>
      </c>
      <c r="H805" s="102" t="b">
        <v>0</v>
      </c>
      <c r="I805" s="102" t="b">
        <v>0</v>
      </c>
      <c r="J805" s="102" t="b">
        <v>0</v>
      </c>
      <c r="K805" s="102" t="b">
        <v>0</v>
      </c>
      <c r="L805" s="102" t="b">
        <v>0</v>
      </c>
    </row>
    <row r="806" spans="1:12" ht="15">
      <c r="A806" s="97" t="s">
        <v>3101</v>
      </c>
      <c r="B806" s="102" t="s">
        <v>3102</v>
      </c>
      <c r="C806" s="102">
        <v>2</v>
      </c>
      <c r="D806" s="118">
        <v>0</v>
      </c>
      <c r="E806" s="118">
        <v>1.301029995663981</v>
      </c>
      <c r="F806" s="102" t="s">
        <v>2634</v>
      </c>
      <c r="G806" s="102" t="b">
        <v>0</v>
      </c>
      <c r="H806" s="102" t="b">
        <v>0</v>
      </c>
      <c r="I806" s="102" t="b">
        <v>0</v>
      </c>
      <c r="J806" s="102" t="b">
        <v>0</v>
      </c>
      <c r="K806" s="102" t="b">
        <v>0</v>
      </c>
      <c r="L806" s="102" t="b">
        <v>0</v>
      </c>
    </row>
    <row r="807" spans="1:12" ht="15">
      <c r="A807" s="97" t="s">
        <v>3102</v>
      </c>
      <c r="B807" s="102" t="s">
        <v>2850</v>
      </c>
      <c r="C807" s="102">
        <v>2</v>
      </c>
      <c r="D807" s="118">
        <v>0</v>
      </c>
      <c r="E807" s="118">
        <v>1.301029995663981</v>
      </c>
      <c r="F807" s="102" t="s">
        <v>2634</v>
      </c>
      <c r="G807" s="102" t="b">
        <v>0</v>
      </c>
      <c r="H807" s="102" t="b">
        <v>0</v>
      </c>
      <c r="I807" s="102" t="b">
        <v>0</v>
      </c>
      <c r="J807" s="102" t="b">
        <v>0</v>
      </c>
      <c r="K807" s="102" t="b">
        <v>0</v>
      </c>
      <c r="L807" s="102" t="b">
        <v>0</v>
      </c>
    </row>
    <row r="808" spans="1:12" ht="15">
      <c r="A808" s="97" t="s">
        <v>2850</v>
      </c>
      <c r="B808" s="102" t="s">
        <v>3103</v>
      </c>
      <c r="C808" s="102">
        <v>2</v>
      </c>
      <c r="D808" s="118">
        <v>0</v>
      </c>
      <c r="E808" s="118">
        <v>1.301029995663981</v>
      </c>
      <c r="F808" s="102" t="s">
        <v>2634</v>
      </c>
      <c r="G808" s="102" t="b">
        <v>0</v>
      </c>
      <c r="H808" s="102" t="b">
        <v>0</v>
      </c>
      <c r="I808" s="102" t="b">
        <v>0</v>
      </c>
      <c r="J808" s="102" t="b">
        <v>0</v>
      </c>
      <c r="K808" s="102" t="b">
        <v>0</v>
      </c>
      <c r="L808" s="102" t="b">
        <v>0</v>
      </c>
    </row>
    <row r="809" spans="1:12" ht="15">
      <c r="A809" s="97" t="s">
        <v>3103</v>
      </c>
      <c r="B809" s="102" t="s">
        <v>3104</v>
      </c>
      <c r="C809" s="102">
        <v>2</v>
      </c>
      <c r="D809" s="118">
        <v>0</v>
      </c>
      <c r="E809" s="118">
        <v>1.301029995663981</v>
      </c>
      <c r="F809" s="102" t="s">
        <v>2634</v>
      </c>
      <c r="G809" s="102" t="b">
        <v>0</v>
      </c>
      <c r="H809" s="102" t="b">
        <v>0</v>
      </c>
      <c r="I809" s="102" t="b">
        <v>0</v>
      </c>
      <c r="J809" s="102" t="b">
        <v>0</v>
      </c>
      <c r="K809" s="102" t="b">
        <v>0</v>
      </c>
      <c r="L809"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2021-12-04T11:19:49Z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